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yana.bolanos\Desktop\Transparencia\2018 Ejecución Presupuesto\"/>
    </mc:Choice>
  </mc:AlternateContent>
  <xr:revisionPtr revIDLastSave="0" documentId="13_ncr:1_{F52E8446-843E-4C2F-AD57-5C140B6A5DDD}" xr6:coauthVersionLast="43" xr6:coauthVersionMax="43" xr10:uidLastSave="{00000000-0000-0000-0000-000000000000}"/>
  <bookViews>
    <workbookView xWindow="-120" yWindow="-120" windowWidth="29040" windowHeight="15840" tabRatio="752" xr2:uid="{00000000-000D-0000-FFFF-FFFF00000000}"/>
  </bookViews>
  <sheets>
    <sheet name="PROGRAMA 792" sheetId="7" r:id="rId1"/>
    <sheet name="programa 796" sheetId="4" r:id="rId2"/>
  </sheets>
  <definedNames>
    <definedName name="_xlnm.Print_Area" localSheetId="0">'PROGRAMA 792'!$A$1:$G$140</definedName>
    <definedName name="_xlnm.Print_Area" localSheetId="1">'programa 796'!$A$1:$G$103</definedName>
    <definedName name="_xlnm.Print_Titles" localSheetId="0">'PROGRAMA 792'!$1:$5</definedName>
    <definedName name="_xlnm.Print_Titles" localSheetId="1">'programa 796'!$1:$5</definedName>
  </definedNames>
  <calcPr calcId="191029" iterateDelta="1E-4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92" i="4" l="1"/>
  <c r="D32" i="4"/>
  <c r="D33" i="4"/>
  <c r="D34" i="4"/>
  <c r="D35" i="4"/>
  <c r="D36" i="4"/>
  <c r="C37" i="4"/>
  <c r="D37" i="4"/>
  <c r="B38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B53" i="4"/>
  <c r="D53" i="4"/>
  <c r="D54" i="4"/>
  <c r="D55" i="4"/>
  <c r="D56" i="4"/>
  <c r="D57" i="4"/>
  <c r="D58" i="4"/>
  <c r="D31" i="4"/>
  <c r="F6" i="7"/>
  <c r="D7" i="7"/>
  <c r="D8" i="7"/>
  <c r="B9" i="7"/>
  <c r="D9" i="7"/>
  <c r="D10" i="7"/>
  <c r="D11" i="7"/>
  <c r="D12" i="7"/>
  <c r="D13" i="7"/>
  <c r="D14" i="7"/>
  <c r="D15" i="7"/>
  <c r="D16" i="7"/>
  <c r="D17" i="7"/>
  <c r="D18" i="7"/>
  <c r="D19" i="7"/>
  <c r="D20" i="7"/>
  <c r="D6" i="7"/>
  <c r="E24" i="4"/>
  <c r="B77" i="7"/>
  <c r="E75" i="7"/>
  <c r="E74" i="7"/>
  <c r="B52" i="7"/>
  <c r="B42" i="7"/>
  <c r="E40" i="7"/>
  <c r="B40" i="7"/>
  <c r="B39" i="7"/>
  <c r="B30" i="7"/>
  <c r="B28" i="7"/>
  <c r="B23" i="7"/>
  <c r="K23" i="7"/>
  <c r="D106" i="7"/>
  <c r="D107" i="7"/>
  <c r="B142" i="7"/>
  <c r="F62" i="7"/>
  <c r="B125" i="7"/>
  <c r="D77" i="7"/>
  <c r="G77" i="7"/>
  <c r="D22" i="7"/>
  <c r="D23" i="7"/>
  <c r="D24" i="7"/>
  <c r="D26" i="7"/>
  <c r="D27" i="7"/>
  <c r="D28" i="7"/>
  <c r="D29" i="7"/>
  <c r="D30" i="7"/>
  <c r="D31" i="7"/>
  <c r="D32" i="7"/>
  <c r="D33" i="7"/>
  <c r="D34" i="7"/>
  <c r="D35" i="7"/>
  <c r="D36" i="7"/>
  <c r="B37" i="7"/>
  <c r="D37" i="7"/>
  <c r="D38" i="7"/>
  <c r="D39" i="7"/>
  <c r="D40" i="7"/>
  <c r="D41" i="7"/>
  <c r="D42" i="7"/>
  <c r="G42" i="7"/>
  <c r="D43" i="7"/>
  <c r="D44" i="7"/>
  <c r="D45" i="7"/>
  <c r="D46" i="7"/>
  <c r="D47" i="7"/>
  <c r="D48" i="7"/>
  <c r="D49" i="7"/>
  <c r="B50" i="7"/>
  <c r="D50" i="7"/>
  <c r="D51" i="7"/>
  <c r="D52" i="7"/>
  <c r="D53" i="7"/>
  <c r="B54" i="7"/>
  <c r="D54" i="7"/>
  <c r="B55" i="7"/>
  <c r="D55" i="7"/>
  <c r="D56" i="7"/>
  <c r="D57" i="7"/>
  <c r="D58" i="7"/>
  <c r="D59" i="7"/>
  <c r="D60" i="7"/>
  <c r="D61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8" i="7"/>
  <c r="D62" i="7"/>
  <c r="D80" i="7"/>
  <c r="D81" i="7"/>
  <c r="D82" i="7"/>
  <c r="D83" i="7"/>
  <c r="D84" i="7"/>
  <c r="D85" i="7"/>
  <c r="D86" i="7"/>
  <c r="D87" i="7"/>
  <c r="D79" i="7"/>
  <c r="B89" i="7"/>
  <c r="D89" i="7"/>
  <c r="D93" i="7"/>
  <c r="D94" i="7"/>
  <c r="D92" i="7"/>
  <c r="D95" i="7"/>
  <c r="D96" i="7"/>
  <c r="D97" i="7"/>
  <c r="D98" i="7"/>
  <c r="D99" i="7"/>
  <c r="E89" i="7"/>
  <c r="E92" i="7"/>
  <c r="E79" i="7"/>
  <c r="E62" i="7"/>
  <c r="B134" i="7"/>
  <c r="E21" i="7"/>
  <c r="B133" i="7"/>
  <c r="E6" i="7"/>
  <c r="B132" i="7"/>
  <c r="F89" i="7"/>
  <c r="F92" i="7"/>
  <c r="F79" i="7"/>
  <c r="B126" i="7"/>
  <c r="F21" i="7"/>
  <c r="B124" i="7"/>
  <c r="B123" i="7"/>
  <c r="D30" i="4"/>
  <c r="D59" i="4"/>
  <c r="F8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81" i="4"/>
  <c r="D84" i="4"/>
  <c r="D87" i="4"/>
  <c r="D88" i="4"/>
  <c r="D90" i="4"/>
  <c r="D91" i="4"/>
  <c r="D94" i="4"/>
  <c r="G94" i="4"/>
  <c r="D95" i="4"/>
  <c r="D97" i="4"/>
  <c r="D98" i="4"/>
  <c r="C99" i="4"/>
  <c r="D99" i="4"/>
  <c r="D100" i="4"/>
  <c r="D89" i="4"/>
  <c r="G89" i="4"/>
  <c r="E86" i="4"/>
  <c r="E106" i="7"/>
  <c r="F106" i="7"/>
  <c r="B86" i="4"/>
  <c r="D86" i="4"/>
  <c r="G90" i="4"/>
  <c r="G95" i="7"/>
  <c r="G91" i="4"/>
  <c r="G96" i="7"/>
  <c r="D93" i="4"/>
  <c r="G93" i="4"/>
  <c r="G98" i="7"/>
  <c r="G95" i="4"/>
  <c r="G99" i="7"/>
  <c r="G92" i="4"/>
  <c r="G97" i="4"/>
  <c r="G98" i="4"/>
  <c r="G100" i="4"/>
  <c r="D79" i="4"/>
  <c r="G79" i="4"/>
  <c r="G82" i="7"/>
  <c r="D80" i="4"/>
  <c r="G80" i="4"/>
  <c r="G83" i="7"/>
  <c r="G81" i="4"/>
  <c r="G84" i="7"/>
  <c r="D82" i="4"/>
  <c r="G82" i="4"/>
  <c r="G85" i="7"/>
  <c r="D83" i="4"/>
  <c r="G83" i="4"/>
  <c r="G86" i="7"/>
  <c r="G84" i="4"/>
  <c r="G87" i="7"/>
  <c r="G63" i="7"/>
  <c r="G62" i="4"/>
  <c r="G64" i="7"/>
  <c r="G65" i="7"/>
  <c r="G64" i="4"/>
  <c r="G66" i="7"/>
  <c r="G67" i="7"/>
  <c r="G66" i="4"/>
  <c r="G68" i="7"/>
  <c r="G69" i="7"/>
  <c r="G68" i="4"/>
  <c r="G70" i="7"/>
  <c r="G71" i="7"/>
  <c r="G70" i="4"/>
  <c r="G72" i="7"/>
  <c r="G73" i="7"/>
  <c r="G72" i="4"/>
  <c r="G74" i="7"/>
  <c r="G75" i="7"/>
  <c r="G74" i="4"/>
  <c r="G76" i="7"/>
  <c r="G76" i="4"/>
  <c r="G78" i="7"/>
  <c r="G7" i="7"/>
  <c r="G8" i="4"/>
  <c r="G8" i="7"/>
  <c r="G10" i="4"/>
  <c r="G10" i="7"/>
  <c r="G11" i="7"/>
  <c r="G12" i="4"/>
  <c r="G12" i="7"/>
  <c r="G13" i="7"/>
  <c r="G14" i="4"/>
  <c r="G14" i="7"/>
  <c r="G15" i="7"/>
  <c r="G16" i="4"/>
  <c r="G16" i="7"/>
  <c r="G17" i="7"/>
  <c r="G18" i="4"/>
  <c r="G18" i="7"/>
  <c r="G19" i="7"/>
  <c r="G20" i="4"/>
  <c r="G20" i="7"/>
  <c r="G107" i="7"/>
  <c r="G106" i="7"/>
  <c r="B6" i="7"/>
  <c r="B21" i="7"/>
  <c r="B92" i="7"/>
  <c r="B88" i="7"/>
  <c r="B79" i="7"/>
  <c r="B62" i="7"/>
  <c r="B108" i="7"/>
  <c r="B112" i="7"/>
  <c r="E6" i="4"/>
  <c r="F6" i="4"/>
  <c r="G94" i="7"/>
  <c r="G80" i="7"/>
  <c r="G33" i="4"/>
  <c r="G36" i="7"/>
  <c r="G37" i="7"/>
  <c r="G41" i="7"/>
  <c r="G40" i="4"/>
  <c r="G42" i="4"/>
  <c r="G44" i="4"/>
  <c r="G46" i="4"/>
  <c r="G56" i="7"/>
  <c r="G56" i="4"/>
  <c r="F96" i="4"/>
  <c r="F85" i="4"/>
  <c r="F21" i="4"/>
  <c r="F77" i="4"/>
  <c r="F60" i="4"/>
  <c r="C96" i="4"/>
  <c r="C85" i="4"/>
  <c r="E96" i="4"/>
  <c r="E85" i="4"/>
  <c r="D24" i="4"/>
  <c r="G24" i="4"/>
  <c r="B60" i="4"/>
  <c r="G35" i="7"/>
  <c r="G88" i="4"/>
  <c r="B77" i="4"/>
  <c r="E21" i="4"/>
  <c r="E60" i="4"/>
  <c r="D28" i="4"/>
  <c r="G28" i="4"/>
  <c r="G29" i="7"/>
  <c r="G59" i="7"/>
  <c r="G52" i="7"/>
  <c r="D26" i="4"/>
  <c r="G26" i="4"/>
  <c r="D27" i="4"/>
  <c r="D29" i="4"/>
  <c r="G29" i="4"/>
  <c r="G41" i="4"/>
  <c r="E77" i="4"/>
  <c r="G25" i="7"/>
  <c r="D91" i="7"/>
  <c r="G91" i="7"/>
  <c r="D90" i="7"/>
  <c r="G90" i="7"/>
  <c r="G105" i="7"/>
  <c r="G104" i="7"/>
  <c r="G103" i="7"/>
  <c r="G102" i="7"/>
  <c r="G101" i="7"/>
  <c r="B96" i="4"/>
  <c r="G24" i="7"/>
  <c r="B6" i="4"/>
  <c r="C6" i="4"/>
  <c r="C60" i="4"/>
  <c r="C77" i="4"/>
  <c r="C21" i="7"/>
  <c r="C79" i="7"/>
  <c r="C88" i="7"/>
  <c r="C6" i="7"/>
  <c r="C62" i="7"/>
  <c r="D78" i="4"/>
  <c r="G22" i="4"/>
  <c r="D23" i="4"/>
  <c r="G23" i="4"/>
  <c r="D25" i="4"/>
  <c r="G25" i="4"/>
  <c r="G34" i="4"/>
  <c r="G39" i="4"/>
  <c r="G49" i="4"/>
  <c r="G51" i="4"/>
  <c r="G22" i="7"/>
  <c r="G23" i="7"/>
  <c r="G28" i="7"/>
  <c r="G30" i="7"/>
  <c r="G33" i="7"/>
  <c r="G38" i="7"/>
  <c r="G40" i="7"/>
  <c r="G58" i="7"/>
  <c r="G97" i="7"/>
  <c r="G100" i="7"/>
  <c r="G48" i="7"/>
  <c r="G87" i="4"/>
  <c r="B85" i="4"/>
  <c r="G35" i="4"/>
  <c r="G47" i="4"/>
  <c r="G48" i="4"/>
  <c r="G45" i="4"/>
  <c r="G50" i="4"/>
  <c r="G43" i="7"/>
  <c r="G61" i="7"/>
  <c r="G81" i="7"/>
  <c r="G34" i="7"/>
  <c r="G55" i="4"/>
  <c r="D96" i="4"/>
  <c r="G53" i="7"/>
  <c r="G52" i="4"/>
  <c r="G31" i="4"/>
  <c r="G58" i="4"/>
  <c r="G32" i="4"/>
  <c r="C21" i="4"/>
  <c r="C101" i="4"/>
  <c r="G38" i="4"/>
  <c r="G43" i="4"/>
  <c r="B21" i="4"/>
  <c r="B101" i="4"/>
  <c r="G30" i="4"/>
  <c r="G45" i="7"/>
  <c r="G27" i="4"/>
  <c r="G60" i="7"/>
  <c r="G39" i="7"/>
  <c r="G32" i="7"/>
  <c r="G57" i="4"/>
  <c r="D77" i="4"/>
  <c r="G27" i="7"/>
  <c r="G57" i="7"/>
  <c r="G44" i="7"/>
  <c r="G26" i="7"/>
  <c r="G51" i="7"/>
  <c r="G47" i="7"/>
  <c r="G93" i="7"/>
  <c r="G50" i="7"/>
  <c r="G46" i="7"/>
  <c r="G31" i="7"/>
  <c r="G49" i="7"/>
  <c r="G37" i="4"/>
  <c r="G96" i="4"/>
  <c r="F88" i="7"/>
  <c r="D88" i="7"/>
  <c r="G92" i="7"/>
  <c r="E88" i="7"/>
  <c r="B136" i="7"/>
  <c r="C108" i="7"/>
  <c r="B117" i="7"/>
  <c r="G79" i="7"/>
  <c r="D21" i="7"/>
  <c r="G54" i="7"/>
  <c r="G55" i="7"/>
  <c r="G86" i="4"/>
  <c r="D85" i="4"/>
  <c r="G89" i="7"/>
  <c r="G9" i="7"/>
  <c r="B116" i="7"/>
  <c r="G62" i="7"/>
  <c r="G77" i="4"/>
  <c r="E101" i="4"/>
  <c r="B135" i="7"/>
  <c r="E108" i="7"/>
  <c r="F101" i="4"/>
  <c r="G73" i="4"/>
  <c r="G15" i="4"/>
  <c r="G75" i="4"/>
  <c r="G67" i="4"/>
  <c r="G17" i="4"/>
  <c r="G9" i="4"/>
  <c r="G54" i="4"/>
  <c r="G99" i="4"/>
  <c r="G65" i="4"/>
  <c r="G78" i="4"/>
  <c r="G69" i="4"/>
  <c r="G61" i="4"/>
  <c r="G19" i="4"/>
  <c r="G11" i="4"/>
  <c r="G53" i="4"/>
  <c r="G7" i="4"/>
  <c r="D60" i="4"/>
  <c r="D21" i="4"/>
  <c r="G21" i="4"/>
  <c r="D6" i="4"/>
  <c r="G71" i="4"/>
  <c r="G63" i="4"/>
  <c r="G13" i="4"/>
  <c r="F108" i="7"/>
  <c r="B127" i="7"/>
  <c r="B128" i="7"/>
  <c r="B137" i="7"/>
  <c r="G21" i="7"/>
  <c r="G85" i="4"/>
  <c r="G60" i="4"/>
  <c r="G6" i="4"/>
  <c r="B114" i="7"/>
  <c r="G6" i="7"/>
  <c r="G88" i="7"/>
  <c r="D108" i="7"/>
  <c r="E109" i="7"/>
  <c r="B118" i="7"/>
  <c r="B115" i="7"/>
  <c r="D101" i="4"/>
  <c r="G101" i="4"/>
  <c r="G102" i="4"/>
  <c r="B119" i="7"/>
  <c r="B109" i="7"/>
  <c r="C109" i="7"/>
  <c r="F109" i="7"/>
  <c r="G108" i="7"/>
  <c r="G109" i="7"/>
  <c r="E102" i="4"/>
  <c r="F102" i="4"/>
  <c r="C102" i="4"/>
  <c r="B102" i="4"/>
  <c r="D102" i="4"/>
  <c r="C118" i="7"/>
  <c r="B129" i="7"/>
  <c r="C114" i="7"/>
  <c r="C115" i="7"/>
  <c r="D109" i="7"/>
  <c r="C136" i="7"/>
  <c r="C132" i="7"/>
  <c r="C117" i="7"/>
  <c r="C116" i="7"/>
  <c r="C124" i="7"/>
  <c r="C125" i="7"/>
  <c r="C127" i="7"/>
  <c r="C126" i="7"/>
  <c r="C134" i="7"/>
  <c r="C133" i="7"/>
  <c r="C123" i="7"/>
  <c r="C135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Ileana Castro</author>
  </authors>
  <commentList>
    <comment ref="B23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Ileana Castro:</t>
        </r>
        <r>
          <rPr>
            <sz val="9"/>
            <color indexed="81"/>
            <rFont val="Tahoma"/>
            <family val="2"/>
          </rPr>
          <t xml:space="preserve">
Está el alquiler de la máquina de café y lo de los autos
</t>
        </r>
      </text>
    </comment>
    <comment ref="A3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Ileana Castro:de este prespuesto hay ¢366,000,00 para el año de Javier para la impresión de hojas, de acuerdo a la contratación.</t>
        </r>
      </text>
    </comment>
  </commentList>
</comments>
</file>

<file path=xl/sharedStrings.xml><?xml version="1.0" encoding="utf-8"?>
<sst xmlns="http://schemas.openxmlformats.org/spreadsheetml/2006/main" count="267" uniqueCount="181">
  <si>
    <t xml:space="preserve">1.99.05 Deducibles </t>
  </si>
  <si>
    <t>2-MATERIALES Y SUMINISTROS</t>
  </si>
  <si>
    <t xml:space="preserve">2.01.01 Combustibles y lubricantes </t>
  </si>
  <si>
    <t xml:space="preserve">2.01.02 Productos farmacéuticos y medicinales </t>
  </si>
  <si>
    <t xml:space="preserve">2.01.04 Tintas, pinturas y diluyentes </t>
  </si>
  <si>
    <t>2.02.03 Alimentos y bebidas</t>
  </si>
  <si>
    <t>2.03.06 Materiales y productos plásticos</t>
  </si>
  <si>
    <t>2.99.01 Utiles y materiales de oficina y cómputo</t>
  </si>
  <si>
    <t>2.99.03 Productos de papel, cartón e impresos</t>
  </si>
  <si>
    <t xml:space="preserve">2.99.04 Textiles y vestuario </t>
  </si>
  <si>
    <t>2.99.05 Utiles y materiales de limpieza</t>
  </si>
  <si>
    <t>2.99.07 Utiles y materiales de cocina y comedor</t>
  </si>
  <si>
    <t>2.99.99 Otros útiles, materiales y suministros</t>
  </si>
  <si>
    <t>5-BIENES DURADEROS</t>
  </si>
  <si>
    <t>5.01.03 Equipo de comunicación</t>
  </si>
  <si>
    <t>5.01.04 Equipo y mobiliario de oficina</t>
  </si>
  <si>
    <t>5.01.05 Equipo y programas de cómputo</t>
  </si>
  <si>
    <t>5.01.07 Equipo y mobiliario educacional, deportivo y recreativo</t>
  </si>
  <si>
    <t>6-TRANSFERENCIAS  CORRIENTES</t>
  </si>
  <si>
    <t>6.01.03 Transferencias corrientes a inst descent no empresariales</t>
  </si>
  <si>
    <t xml:space="preserve">6.03.01 Prestaciones legales </t>
  </si>
  <si>
    <t xml:space="preserve">6.07.01 Transferencias a Organismos Internacionales </t>
  </si>
  <si>
    <t>0.05.05 Cont patronal o f a emp privada</t>
  </si>
  <si>
    <t>2.04.02 Repuestos y accesorios</t>
  </si>
  <si>
    <t>1.04.02 Servicios jurídicos</t>
  </si>
  <si>
    <t>PARTIDA Y SUBPARTIDA</t>
  </si>
  <si>
    <t>0-REMUNERACIONES</t>
  </si>
  <si>
    <t xml:space="preserve">0.01.01 Sueldos p cargos fijos </t>
  </si>
  <si>
    <t xml:space="preserve">0.02.01 Tiempos extraordinarios </t>
  </si>
  <si>
    <t xml:space="preserve">0.03.01 Retrib. X años servidos </t>
  </si>
  <si>
    <t xml:space="preserve">0.03.02 Restricción al ejerc liberal de la prof. </t>
  </si>
  <si>
    <t xml:space="preserve">0.03.03 Decimotercer mes </t>
  </si>
  <si>
    <t xml:space="preserve">0.03.04 Salario escolar </t>
  </si>
  <si>
    <t xml:space="preserve">0.03.99 Otros incentivos salariales </t>
  </si>
  <si>
    <t xml:space="preserve">0.04.01 Cont. Patron. Al seguro de salud CCSS </t>
  </si>
  <si>
    <t xml:space="preserve">0.04.05 Cont. Patron. BPDC </t>
  </si>
  <si>
    <t xml:space="preserve">0.05.01 Cont. Patron. Al seguro de pensiones CCSS </t>
  </si>
  <si>
    <t xml:space="preserve">0.05.02 Aporte patronal al Reg. Oblig. Pensiones Compl. </t>
  </si>
  <si>
    <t xml:space="preserve">0.05.03 Aporte Patronal Fondo Capitalización Laboral </t>
  </si>
  <si>
    <t>1-SERVICIOS</t>
  </si>
  <si>
    <t xml:space="preserve">1.01.01 Alquiler de edificios, locales y terrenos </t>
  </si>
  <si>
    <t xml:space="preserve">1.02.01 Servicios de agua y alcantarillado </t>
  </si>
  <si>
    <t xml:space="preserve">1.02.02 Servicios de energía eléctrica </t>
  </si>
  <si>
    <t xml:space="preserve">1.02.04 Servicio de telecomunicaciones </t>
  </si>
  <si>
    <t xml:space="preserve">1.02.99 Otros servicios básicos </t>
  </si>
  <si>
    <t xml:space="preserve">1.03.01 Información </t>
  </si>
  <si>
    <t xml:space="preserve">1.03.03 Impresión, encuadernación y otros </t>
  </si>
  <si>
    <t xml:space="preserve">1.03.04 Transporte de bienes </t>
  </si>
  <si>
    <t xml:space="preserve">1.04.05 Servicios de desarrollo de sist. De informática </t>
  </si>
  <si>
    <t>1.04.06 Servicios Generales</t>
  </si>
  <si>
    <t>1.04.99 Otros servicios de gestión y apoyo (revision  técnica)</t>
  </si>
  <si>
    <t xml:space="preserve">1.05.01 Transporte dentro del país </t>
  </si>
  <si>
    <t xml:space="preserve">1.05.02 Viáticos dentro del país </t>
  </si>
  <si>
    <t xml:space="preserve">1.05.03 Transporte en el exterior </t>
  </si>
  <si>
    <t xml:space="preserve">1.05.04 Viáticos en el exterior </t>
  </si>
  <si>
    <t xml:space="preserve">1.06.01 Seguros </t>
  </si>
  <si>
    <t xml:space="preserve">1.07.01 Actividades de capacitación </t>
  </si>
  <si>
    <t xml:space="preserve">1.07.02 Actividades protocolarias y sociales </t>
  </si>
  <si>
    <t xml:space="preserve">1.07.03 Gastos de representación institucional </t>
  </si>
  <si>
    <t>1.08.01 Mantenimiento de Edificios y locales</t>
  </si>
  <si>
    <t>1.08.05 Mantenimiento y reparación de equipo de transporte</t>
  </si>
  <si>
    <t>1.08.08 Mantenimiento y reparación de equipo de comp y sist de inf.</t>
  </si>
  <si>
    <t>1.99.03 Gastos de oficinas en el exterior (Misión)</t>
  </si>
  <si>
    <t>PROGRAMA 796</t>
  </si>
  <si>
    <t>PROGRAMA 792</t>
  </si>
  <si>
    <t>TOTAL PROGRAMA 792</t>
  </si>
  <si>
    <t>TOTAL PROGRAMA 796</t>
  </si>
  <si>
    <t>MINISTERIO DE COMERCIO EXTERIOR</t>
  </si>
  <si>
    <t>0.01.05 Suplencias</t>
  </si>
  <si>
    <t>1.03.06 Comisión y gastos financieros</t>
  </si>
  <si>
    <t>1.08.99 Mantenimiento y reparación de otros equipos</t>
  </si>
  <si>
    <t>OMC</t>
  </si>
  <si>
    <t xml:space="preserve">SIECA </t>
  </si>
  <si>
    <t>CIADI</t>
  </si>
  <si>
    <t>1.04.04 Servicios en ciencias económicas y sociales</t>
  </si>
  <si>
    <t>1.01.99 Otros alquileres</t>
  </si>
  <si>
    <t>2.04.01 Herramientas y Instrumentos</t>
  </si>
  <si>
    <t>5.02.07 Instalaciones</t>
  </si>
  <si>
    <t>CENTRO</t>
  </si>
  <si>
    <t xml:space="preserve">1.05.04 Viáticos en el exterior    </t>
  </si>
  <si>
    <t>5.99.03 Bienes intangibles</t>
  </si>
  <si>
    <t>6.01.02 Transferencias corrientes a organismos desconcentrados</t>
  </si>
  <si>
    <t>EXTRALIMITE</t>
  </si>
  <si>
    <t>1.03.05 Servicios aduaneros</t>
  </si>
  <si>
    <t>OECD</t>
  </si>
  <si>
    <t>TOTAL</t>
  </si>
  <si>
    <t>1.01.03 Alquiler de equipo de cómputo</t>
  </si>
  <si>
    <t>PRESUPUESTO</t>
  </si>
  <si>
    <t xml:space="preserve">MONTO </t>
  </si>
  <si>
    <t>AÑO</t>
  </si>
  <si>
    <t>COMPROMETIDO</t>
  </si>
  <si>
    <t xml:space="preserve">PRESUPUESTO </t>
  </si>
  <si>
    <t>EJECUTADO</t>
  </si>
  <si>
    <t>DISPONIBLE</t>
  </si>
  <si>
    <t>1.09.99 Otros Impuestos</t>
  </si>
  <si>
    <t>0.05.05 Cont patronal o f a emp privada (asociación)</t>
  </si>
  <si>
    <t>1,03,07 Servicios de transferencia de información</t>
  </si>
  <si>
    <t>1.01.04 Alquiler y derechos para  telecomunicaciones</t>
  </si>
  <si>
    <t>2.03.99 Otros materiales y productos uso construcc.</t>
  </si>
  <si>
    <t>5.99.99 Otros bienes duraderos</t>
  </si>
  <si>
    <r>
      <t xml:space="preserve">6.05.01 Transferencias corrientes a empresas privadas </t>
    </r>
    <r>
      <rPr>
        <sz val="8"/>
        <rFont val="Arial"/>
        <family val="2"/>
      </rPr>
      <t xml:space="preserve">(Bonzfrex ) </t>
    </r>
  </si>
  <si>
    <t>1.04.99 Otros servicios de gestión y apoyo (Traducciones, monitoreo yrevision  técnica)</t>
  </si>
  <si>
    <t>60102-001-202  Fondo Nacional de Financiamiento Forestal (FONAFIFO)</t>
  </si>
  <si>
    <t>6.01.03-200  CCSS (contribución estatal al seguro de pensiones, según ley N° 17 del 22-10-1943)</t>
  </si>
  <si>
    <t>6.01.03-202 CCSS (contribución estatal al seguro de salud, según ley N°17 del 22-10-1943)</t>
  </si>
  <si>
    <t>6.03.99 Otras prestaciones a terceras personas (para el pago de subsidios por incapacidad a funcionarios)</t>
  </si>
  <si>
    <t>6.06.01 Indemnizaciones (para eventuales indeminizaciones con base en una sentencia judicial o resolución administrativa)</t>
  </si>
  <si>
    <t>6.06.02 Reintegros o devoluciones (atender evntuales condenatorias)</t>
  </si>
  <si>
    <t>Organización Mundial del Comercio (OMC)</t>
  </si>
  <si>
    <t xml:space="preserve">Secretaría  Permanente de Integración Ecomómica Centroamericana (SIECA) IP 202 </t>
  </si>
  <si>
    <t>Centro Internacional de Arreglo de Diferencias Relativas a Inversiones (CIADI) IP 203</t>
  </si>
  <si>
    <t>1.01.03 Alquiler de equipo cómputo</t>
  </si>
  <si>
    <t>1.99.02 Intereses moratorios y multas</t>
  </si>
  <si>
    <t xml:space="preserve">1.01.99 Otros alquileres </t>
  </si>
  <si>
    <t xml:space="preserve">1.04.02 Servicios jurídicos </t>
  </si>
  <si>
    <r>
      <t>6.04,04 Coalición Costarricense de Iniciativas para el Desarrollo</t>
    </r>
    <r>
      <rPr>
        <b/>
        <sz val="10"/>
        <rFont val="Arial"/>
        <family val="2"/>
      </rPr>
      <t xml:space="preserve"> (CINDE)-206</t>
    </r>
  </si>
  <si>
    <t>6.05.01 Transferencias corrientes a empresas privadas</t>
  </si>
  <si>
    <t xml:space="preserve">6,01,08 Fideicomiso COMEX </t>
  </si>
  <si>
    <t xml:space="preserve">1.99.02 Intereses moratorios y multas </t>
  </si>
  <si>
    <t>1.01.02 Alquiler de maquinaria, equipo y mobiliario</t>
  </si>
  <si>
    <t xml:space="preserve">1.02.03 Servicios de correo  </t>
  </si>
  <si>
    <t xml:space="preserve">1.03.03 Impresión, encuadernación y otros  </t>
  </si>
  <si>
    <t xml:space="preserve">1,03,07 Servicios de transferencia de información </t>
  </si>
  <si>
    <t xml:space="preserve">1.04.05 Servicios de desarrollo de sist. De informática  </t>
  </si>
  <si>
    <t xml:space="preserve">1.08.05 Mantenimiento y reparación de equipo de transporte </t>
  </si>
  <si>
    <t xml:space="preserve">1.08.06 Mantenimiento y reparación de equipo de comunicación </t>
  </si>
  <si>
    <t xml:space="preserve">1.08.07 Mantenimiento y reparación de equipo y mobiliario de of. </t>
  </si>
  <si>
    <t xml:space="preserve">1.99.05 Deducibles  </t>
  </si>
  <si>
    <t xml:space="preserve">2.01.01 Combustibles y lubricantes  </t>
  </si>
  <si>
    <t xml:space="preserve">2.01.04 Tintas, pinturas y diluyentes  </t>
  </si>
  <si>
    <t xml:space="preserve">2.03.01 Materiales y productos metálicos </t>
  </si>
  <si>
    <t xml:space="preserve">2.03.04 Mat y prod eléctricos, telef y de cómputo </t>
  </si>
  <si>
    <t>2.03.99 Otros materiales y productos de uso en la construcción y mantenimiento</t>
  </si>
  <si>
    <t xml:space="preserve">2.04.02 Repuestos y accesorios </t>
  </si>
  <si>
    <t xml:space="preserve">2.99.03 Productos de papel, cartón e impresos </t>
  </si>
  <si>
    <t xml:space="preserve">5.01.02 Equipo de transporte </t>
  </si>
  <si>
    <t xml:space="preserve">5.01.04 Equipo y mobiliario de oficina </t>
  </si>
  <si>
    <t xml:space="preserve">5.01.05 Equipo y programas de cómputo </t>
  </si>
  <si>
    <t xml:space="preserve">5.01.99 Maquinaria, equipo y mobiliario diverso </t>
  </si>
  <si>
    <t>60102- 001-260 Comisión Nacional de Riesgos y Atención de Emergencias (CNE)</t>
  </si>
  <si>
    <t>1.02.03 Servicios de correo</t>
  </si>
  <si>
    <t xml:space="preserve">1.03.04 Transporte de bienes  </t>
  </si>
  <si>
    <t xml:space="preserve">1.07.01 Actividades de capacitación  </t>
  </si>
  <si>
    <t xml:space="preserve">1.08.99 Mantenimiento y reparación de otros equipos </t>
  </si>
  <si>
    <t xml:space="preserve">2.01.02 Productos farmacéuticos y medicinales  </t>
  </si>
  <si>
    <t xml:space="preserve">2.02.03 Alimentos y bebidas </t>
  </si>
  <si>
    <t xml:space="preserve">2.03.06 Materiales y productos plásticos </t>
  </si>
  <si>
    <t xml:space="preserve">2.99.05 Utiles y materiales de limpieza </t>
  </si>
  <si>
    <t xml:space="preserve">2.99.07 Utiles y materiales de cocina y comedor </t>
  </si>
  <si>
    <t xml:space="preserve">5.01.03 Equipo de comunicación </t>
  </si>
  <si>
    <t xml:space="preserve">5.01.99 Maquinaria y equipo diverso </t>
  </si>
  <si>
    <t>2017</t>
  </si>
  <si>
    <t>5.02.01 Edificios</t>
  </si>
  <si>
    <t>2018</t>
  </si>
  <si>
    <t>1.04.03 Servicios de Ingeniería</t>
  </si>
  <si>
    <t xml:space="preserve">Organización para el Desarrollo y Cooperación Económica (OECD) IP 205 </t>
  </si>
  <si>
    <t>7-TRANSFERENCIAS  DE CAPITAL -al sector público</t>
  </si>
  <si>
    <t>707107-515-2310-2111-200 Fondos en fideicomiso para gasto de capital (Fideicomiso COMEX-BANCA ESTATAL O COMERCIAL - RECURSOS DESTINADOS AL PROGRAMA DE INTEGRACION FRONTERIZA DE COSTA RICA, SEGÚN LEY N°9451)</t>
  </si>
  <si>
    <t>Sin la partida 7 porcentaje de presupuesto total</t>
  </si>
  <si>
    <t>1.99.03 Gastos de oficinas en el exterior (Misión) (OMC ¢138,0 millones)(OCDE ¢140,00 millones)</t>
  </si>
  <si>
    <t>Sin la partida 7 porcentaje de ejecución es:</t>
  </si>
  <si>
    <t>46% remuneraciones</t>
  </si>
  <si>
    <t>51% servicios</t>
  </si>
  <si>
    <t>1,18% materiales y suministros.</t>
  </si>
  <si>
    <t>0,95% b duraderos</t>
  </si>
  <si>
    <t>0,99% transferencias.</t>
  </si>
  <si>
    <t>Sin la partida 7 porcentaje de  compromiso:</t>
  </si>
  <si>
    <t>ejecución sin la partida 7</t>
  </si>
  <si>
    <t>Presupuesto sin la partida 7</t>
  </si>
  <si>
    <t>Subtotal</t>
  </si>
  <si>
    <t>compromisos sin la partida 7</t>
  </si>
  <si>
    <t>% sobre el presupuesto de ¢2,114,000,000,00</t>
  </si>
  <si>
    <t>Presupuesto de CONAFAC</t>
  </si>
  <si>
    <t>remuneraciones</t>
  </si>
  <si>
    <t xml:space="preserve"> servicios</t>
  </si>
  <si>
    <t xml:space="preserve"> materiales y suministros.</t>
  </si>
  <si>
    <t xml:space="preserve"> b duraderos</t>
  </si>
  <si>
    <t xml:space="preserve"> transferencias.</t>
  </si>
  <si>
    <t>materiales y suministros.</t>
  </si>
  <si>
    <t>transferencias.</t>
  </si>
  <si>
    <t>AGOSTO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</si>
</sst>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&quot;₡&quot;* #,##0_-;\-&quot;₡&quot;* #,##0_-;_-&quot;₡&quot;* &quot;-&quot;_-;_-@_-"/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_([$€]* #,##0.00_);_([$€]* \(#,##0.00\);_([$€]* &quot;-&quot;??_);_(@_)"/>
    <numFmt numFmtId="166" formatCode="0.000%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indexed="53"/>
      <name val="Arial"/>
      <family val="2"/>
    </font>
    <font>
      <sz val="10"/>
      <name val="Arial"/>
      <family val="2"/>
    </font>
    <font>
      <sz val="10"/>
      <color indexed="5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Segoe UI"/>
      <family val="2"/>
    </font>
    <font>
      <sz val="8"/>
      <color rgb="FF858585"/>
      <name val="Segoe UI"/>
      <family val="2"/>
    </font>
    <font>
      <sz val="10"/>
      <name val="Arial"/>
      <family val="2"/>
    </font>
    <font>
      <b/>
      <sz val="10"/>
      <color rgb="FFFF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indexed="64"/>
      </bottom>
      <diagonal/>
    </border>
  </borders>
  <cellStyleXfs count="21">
    <xf numFmtId="0" fontId="0" fillId="0" borderId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41" fontId="22" fillId="0" borderId="0" applyFont="0" applyFill="0" applyBorder="0" applyAlignment="0" applyProtection="0"/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5" fontId="4" fillId="0" borderId="0"/>
    <xf numFmtId="42" fontId="4" fillId="0" borderId="0" applyFont="0" applyFill="0" applyBorder="0" applyAlignment="0" applyProtection="0"/>
  </cellStyleXfs>
  <cellXfs count="167">
    <xf numFmtId="0" fontId="0" fillId="0" borderId="0" xfId="0"/>
    <xf numFmtId="4" fontId="0" fillId="0" borderId="0" xfId="0" applyNumberFormat="1"/>
    <xf numFmtId="0" fontId="8" fillId="0" borderId="4" xfId="0" applyFont="1" applyBorder="1" applyAlignment="1">
      <alignment horizontal="right"/>
    </xf>
    <xf numFmtId="0" fontId="7" fillId="0" borderId="2" xfId="0" applyFont="1" applyBorder="1"/>
    <xf numFmtId="0" fontId="0" fillId="0" borderId="2" xfId="0" applyBorder="1"/>
    <xf numFmtId="0" fontId="7" fillId="0" borderId="16" xfId="0" applyFont="1" applyBorder="1"/>
    <xf numFmtId="0" fontId="5" fillId="0" borderId="13" xfId="0" applyFont="1" applyBorder="1" applyAlignment="1"/>
    <xf numFmtId="4" fontId="6" fillId="0" borderId="13" xfId="0" applyNumberFormat="1" applyFont="1" applyBorder="1"/>
    <xf numFmtId="4" fontId="0" fillId="2" borderId="16" xfId="0" applyNumberFormat="1" applyFill="1" applyBorder="1"/>
    <xf numFmtId="4" fontId="0" fillId="2" borderId="2" xfId="0" applyNumberFormat="1" applyFill="1" applyBorder="1"/>
    <xf numFmtId="4" fontId="6" fillId="2" borderId="13" xfId="0" applyNumberFormat="1" applyFont="1" applyFill="1" applyBorder="1"/>
    <xf numFmtId="4" fontId="0" fillId="2" borderId="5" xfId="0" applyNumberFormat="1" applyFill="1" applyBorder="1"/>
    <xf numFmtId="10" fontId="12" fillId="0" borderId="0" xfId="0" applyNumberFormat="1" applyFont="1"/>
    <xf numFmtId="0" fontId="13" fillId="0" borderId="0" xfId="0" applyFont="1"/>
    <xf numFmtId="10" fontId="14" fillId="0" borderId="12" xfId="0" applyNumberFormat="1" applyFont="1" applyBorder="1"/>
    <xf numFmtId="10" fontId="14" fillId="0" borderId="19" xfId="0" applyNumberFormat="1" applyFont="1" applyBorder="1"/>
    <xf numFmtId="10" fontId="14" fillId="0" borderId="14" xfId="0" applyNumberFormat="1" applyFont="1" applyBorder="1"/>
    <xf numFmtId="0" fontId="4" fillId="0" borderId="0" xfId="0" applyFont="1"/>
    <xf numFmtId="0" fontId="0" fillId="0" borderId="0" xfId="0" applyFill="1"/>
    <xf numFmtId="4" fontId="0" fillId="0" borderId="0" xfId="0" applyNumberFormat="1" applyFill="1"/>
    <xf numFmtId="4" fontId="4" fillId="2" borderId="2" xfId="0" applyNumberFormat="1" applyFont="1" applyFill="1" applyBorder="1"/>
    <xf numFmtId="4" fontId="0" fillId="0" borderId="16" xfId="0" applyNumberFormat="1" applyFill="1" applyBorder="1"/>
    <xf numFmtId="4" fontId="6" fillId="0" borderId="13" xfId="0" applyNumberFormat="1" applyFont="1" applyFill="1" applyBorder="1"/>
    <xf numFmtId="4" fontId="0" fillId="0" borderId="2" xfId="0" applyNumberFormat="1" applyFill="1" applyBorder="1"/>
    <xf numFmtId="4" fontId="0" fillId="3" borderId="16" xfId="0" applyNumberFormat="1" applyFill="1" applyBorder="1"/>
    <xf numFmtId="4" fontId="0" fillId="3" borderId="5" xfId="0" applyNumberFormat="1" applyFill="1" applyBorder="1"/>
    <xf numFmtId="4" fontId="7" fillId="3" borderId="16" xfId="0" applyNumberFormat="1" applyFont="1" applyFill="1" applyBorder="1"/>
    <xf numFmtId="4" fontId="4" fillId="3" borderId="16" xfId="0" applyNumberFormat="1" applyFont="1" applyFill="1" applyBorder="1"/>
    <xf numFmtId="0" fontId="0" fillId="3" borderId="2" xfId="0" applyFill="1" applyBorder="1" applyAlignment="1">
      <alignment wrapText="1"/>
    </xf>
    <xf numFmtId="4" fontId="6" fillId="3" borderId="13" xfId="0" applyNumberFormat="1" applyFont="1" applyFill="1" applyBorder="1"/>
    <xf numFmtId="4" fontId="0" fillId="3" borderId="2" xfId="0" applyNumberFormat="1" applyFill="1" applyBorder="1"/>
    <xf numFmtId="4" fontId="17" fillId="3" borderId="16" xfId="0" applyNumberFormat="1" applyFont="1" applyFill="1" applyBorder="1"/>
    <xf numFmtId="4" fontId="8" fillId="3" borderId="16" xfId="0" applyNumberFormat="1" applyFont="1" applyFill="1" applyBorder="1"/>
    <xf numFmtId="0" fontId="17" fillId="3" borderId="2" xfId="0" applyFont="1" applyFill="1" applyBorder="1" applyAlignment="1">
      <alignment wrapText="1"/>
    </xf>
    <xf numFmtId="4" fontId="17" fillId="3" borderId="2" xfId="0" applyNumberFormat="1" applyFont="1" applyFill="1" applyBorder="1"/>
    <xf numFmtId="4" fontId="8" fillId="3" borderId="2" xfId="0" applyNumberFormat="1" applyFont="1" applyFill="1" applyBorder="1"/>
    <xf numFmtId="0" fontId="4" fillId="3" borderId="2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  <xf numFmtId="0" fontId="8" fillId="3" borderId="4" xfId="0" applyFont="1" applyFill="1" applyBorder="1" applyAlignment="1">
      <alignment horizontal="right" wrapText="1"/>
    </xf>
    <xf numFmtId="0" fontId="8" fillId="3" borderId="4" xfId="0" applyFont="1" applyFill="1" applyBorder="1" applyAlignment="1">
      <alignment horizontal="right"/>
    </xf>
    <xf numFmtId="4" fontId="7" fillId="3" borderId="5" xfId="0" applyNumberFormat="1" applyFont="1" applyFill="1" applyBorder="1"/>
    <xf numFmtId="4" fontId="4" fillId="3" borderId="5" xfId="0" applyNumberFormat="1" applyFont="1" applyFill="1" applyBorder="1"/>
    <xf numFmtId="4" fontId="6" fillId="3" borderId="14" xfId="0" applyNumberFormat="1" applyFont="1" applyFill="1" applyBorder="1"/>
    <xf numFmtId="4" fontId="8" fillId="3" borderId="5" xfId="0" applyNumberFormat="1" applyFont="1" applyFill="1" applyBorder="1"/>
    <xf numFmtId="0" fontId="7" fillId="0" borderId="4" xfId="0" applyFont="1" applyFill="1" applyBorder="1"/>
    <xf numFmtId="4" fontId="7" fillId="0" borderId="16" xfId="0" applyNumberFormat="1" applyFont="1" applyFill="1" applyBorder="1"/>
    <xf numFmtId="4" fontId="16" fillId="0" borderId="16" xfId="0" applyNumberFormat="1" applyFont="1" applyFill="1" applyBorder="1"/>
    <xf numFmtId="4" fontId="4" fillId="0" borderId="5" xfId="0" applyNumberFormat="1" applyFont="1" applyFill="1" applyBorder="1"/>
    <xf numFmtId="4" fontId="0" fillId="0" borderId="5" xfId="0" applyNumberFormat="1" applyFill="1" applyBorder="1"/>
    <xf numFmtId="4" fontId="9" fillId="3" borderId="16" xfId="0" applyNumberFormat="1" applyFont="1" applyFill="1" applyBorder="1"/>
    <xf numFmtId="0" fontId="0" fillId="0" borderId="2" xfId="0" applyFill="1" applyBorder="1"/>
    <xf numFmtId="4" fontId="0" fillId="0" borderId="15" xfId="0" applyNumberFormat="1" applyFill="1" applyBorder="1"/>
    <xf numFmtId="0" fontId="0" fillId="0" borderId="2" xfId="0" applyBorder="1" applyAlignment="1">
      <alignment wrapText="1"/>
    </xf>
    <xf numFmtId="0" fontId="0" fillId="0" borderId="15" xfId="0" applyBorder="1" applyAlignment="1">
      <alignment wrapText="1"/>
    </xf>
    <xf numFmtId="4" fontId="6" fillId="0" borderId="7" xfId="0" applyNumberFormat="1" applyFont="1" applyFill="1" applyBorder="1"/>
    <xf numFmtId="0" fontId="0" fillId="0" borderId="4" xfId="0" applyFill="1" applyBorder="1"/>
    <xf numFmtId="0" fontId="9" fillId="0" borderId="4" xfId="0" applyFont="1" applyFill="1" applyBorder="1"/>
    <xf numFmtId="0" fontId="0" fillId="0" borderId="8" xfId="0" applyFill="1" applyBorder="1"/>
    <xf numFmtId="4" fontId="7" fillId="0" borderId="2" xfId="0" applyNumberFormat="1" applyFont="1" applyFill="1" applyBorder="1"/>
    <xf numFmtId="4" fontId="7" fillId="0" borderId="5" xfId="0" applyNumberFormat="1" applyFont="1" applyFill="1" applyBorder="1"/>
    <xf numFmtId="0" fontId="4" fillId="0" borderId="4" xfId="0" applyFont="1" applyFill="1" applyBorder="1"/>
    <xf numFmtId="4" fontId="4" fillId="0" borderId="2" xfId="0" applyNumberFormat="1" applyFont="1" applyFill="1" applyBorder="1"/>
    <xf numFmtId="0" fontId="4" fillId="0" borderId="4" xfId="0" applyFont="1" applyFill="1" applyBorder="1" applyAlignment="1">
      <alignment wrapText="1"/>
    </xf>
    <xf numFmtId="0" fontId="7" fillId="0" borderId="4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0" fillId="0" borderId="1" xfId="0" applyFill="1" applyBorder="1"/>
    <xf numFmtId="4" fontId="0" fillId="0" borderId="9" xfId="0" applyNumberFormat="1" applyFill="1" applyBorder="1"/>
    <xf numFmtId="4" fontId="0" fillId="0" borderId="24" xfId="0" applyNumberFormat="1" applyFill="1" applyBorder="1"/>
    <xf numFmtId="0" fontId="5" fillId="0" borderId="12" xfId="0" applyFont="1" applyFill="1" applyBorder="1" applyAlignment="1"/>
    <xf numFmtId="4" fontId="6" fillId="0" borderId="14" xfId="0" applyNumberFormat="1" applyFont="1" applyFill="1" applyBorder="1"/>
    <xf numFmtId="0" fontId="6" fillId="0" borderId="6" xfId="0" applyFont="1" applyFill="1" applyBorder="1"/>
    <xf numFmtId="0" fontId="17" fillId="0" borderId="2" xfId="0" applyFont="1" applyFill="1" applyBorder="1" applyAlignment="1">
      <alignment wrapText="1"/>
    </xf>
    <xf numFmtId="4" fontId="8" fillId="0" borderId="2" xfId="0" applyNumberFormat="1" applyFont="1" applyFill="1" applyBorder="1"/>
    <xf numFmtId="0" fontId="4" fillId="0" borderId="2" xfId="0" applyFont="1" applyFill="1" applyBorder="1" applyAlignment="1">
      <alignment wrapText="1"/>
    </xf>
    <xf numFmtId="0" fontId="4" fillId="0" borderId="4" xfId="0" applyFont="1" applyFill="1" applyBorder="1" applyAlignment="1">
      <alignment horizontal="justify"/>
    </xf>
    <xf numFmtId="0" fontId="8" fillId="0" borderId="4" xfId="0" applyFont="1" applyFill="1" applyBorder="1" applyAlignment="1">
      <alignment horizontal="right"/>
    </xf>
    <xf numFmtId="0" fontId="8" fillId="0" borderId="4" xfId="0" applyFont="1" applyFill="1" applyBorder="1" applyAlignment="1">
      <alignment horizontal="right" wrapText="1"/>
    </xf>
    <xf numFmtId="0" fontId="8" fillId="0" borderId="10" xfId="0" applyFont="1" applyFill="1" applyBorder="1" applyAlignment="1">
      <alignment horizontal="right" wrapText="1"/>
    </xf>
    <xf numFmtId="4" fontId="8" fillId="0" borderId="15" xfId="0" applyNumberFormat="1" applyFont="1" applyFill="1" applyBorder="1"/>
    <xf numFmtId="4" fontId="8" fillId="0" borderId="18" xfId="0" applyNumberFormat="1" applyFont="1" applyFill="1" applyBorder="1"/>
    <xf numFmtId="0" fontId="4" fillId="0" borderId="1" xfId="0" applyFont="1" applyFill="1" applyBorder="1" applyAlignment="1">
      <alignment wrapText="1"/>
    </xf>
    <xf numFmtId="0" fontId="4" fillId="0" borderId="23" xfId="0" applyFont="1" applyFill="1" applyBorder="1" applyAlignment="1">
      <alignment wrapText="1"/>
    </xf>
    <xf numFmtId="0" fontId="20" fillId="0" borderId="0" xfId="0" applyFont="1"/>
    <xf numFmtId="0" fontId="21" fillId="0" borderId="0" xfId="0" applyFont="1"/>
    <xf numFmtId="4" fontId="0" fillId="3" borderId="24" xfId="0" applyNumberFormat="1" applyFill="1" applyBorder="1"/>
    <xf numFmtId="4" fontId="0" fillId="0" borderId="3" xfId="0" applyNumberFormat="1" applyFill="1" applyBorder="1"/>
    <xf numFmtId="4" fontId="0" fillId="3" borderId="3" xfId="0" applyNumberFormat="1" applyFill="1" applyBorder="1"/>
    <xf numFmtId="0" fontId="4" fillId="0" borderId="28" xfId="0" applyFont="1" applyFill="1" applyBorder="1"/>
    <xf numFmtId="4" fontId="0" fillId="0" borderId="27" xfId="0" applyNumberFormat="1" applyFill="1" applyBorder="1"/>
    <xf numFmtId="4" fontId="6" fillId="0" borderId="0" xfId="0" applyNumberFormat="1" applyFont="1" applyFill="1" applyBorder="1"/>
    <xf numFmtId="4" fontId="4" fillId="0" borderId="16" xfId="0" applyNumberFormat="1" applyFont="1" applyFill="1" applyBorder="1"/>
    <xf numFmtId="0" fontId="15" fillId="5" borderId="20" xfId="0" applyFont="1" applyFill="1" applyBorder="1" applyAlignment="1">
      <alignment horizontal="center"/>
    </xf>
    <xf numFmtId="4" fontId="15" fillId="5" borderId="21" xfId="0" applyNumberFormat="1" applyFont="1" applyFill="1" applyBorder="1" applyAlignment="1">
      <alignment horizontal="center"/>
    </xf>
    <xf numFmtId="49" fontId="15" fillId="5" borderId="20" xfId="0" applyNumberFormat="1" applyFont="1" applyFill="1" applyBorder="1" applyAlignment="1">
      <alignment horizontal="center"/>
    </xf>
    <xf numFmtId="0" fontId="15" fillId="5" borderId="22" xfId="0" applyFont="1" applyFill="1" applyBorder="1" applyAlignment="1">
      <alignment horizontal="center"/>
    </xf>
    <xf numFmtId="49" fontId="15" fillId="5" borderId="22" xfId="0" applyNumberFormat="1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/>
    </xf>
    <xf numFmtId="4" fontId="6" fillId="5" borderId="14" xfId="0" applyNumberFormat="1" applyFont="1" applyFill="1" applyBorder="1"/>
    <xf numFmtId="0" fontId="5" fillId="4" borderId="12" xfId="0" applyFont="1" applyFill="1" applyBorder="1" applyAlignment="1">
      <alignment horizontal="center"/>
    </xf>
    <xf numFmtId="4" fontId="5" fillId="4" borderId="13" xfId="0" applyNumberFormat="1" applyFont="1" applyFill="1" applyBorder="1"/>
    <xf numFmtId="4" fontId="5" fillId="4" borderId="14" xfId="0" applyNumberFormat="1" applyFont="1" applyFill="1" applyBorder="1"/>
    <xf numFmtId="10" fontId="0" fillId="0" borderId="0" xfId="4" applyNumberFormat="1" applyFont="1"/>
    <xf numFmtId="4" fontId="4" fillId="2" borderId="5" xfId="0" applyNumberFormat="1" applyFont="1" applyFill="1" applyBorder="1"/>
    <xf numFmtId="4" fontId="8" fillId="0" borderId="5" xfId="0" applyNumberFormat="1" applyFont="1" applyFill="1" applyBorder="1"/>
    <xf numFmtId="0" fontId="7" fillId="0" borderId="4" xfId="0" applyFont="1" applyFill="1" applyBorder="1" applyAlignment="1"/>
    <xf numFmtId="10" fontId="0" fillId="0" borderId="0" xfId="4" applyNumberFormat="1" applyFont="1" applyFill="1"/>
    <xf numFmtId="0" fontId="0" fillId="0" borderId="2" xfId="0" applyFill="1" applyBorder="1" applyAlignment="1">
      <alignment wrapText="1"/>
    </xf>
    <xf numFmtId="0" fontId="17" fillId="0" borderId="4" xfId="0" applyFont="1" applyFill="1" applyBorder="1" applyAlignment="1">
      <alignment wrapText="1"/>
    </xf>
    <xf numFmtId="4" fontId="16" fillId="0" borderId="5" xfId="0" applyNumberFormat="1" applyFont="1" applyFill="1" applyBorder="1"/>
    <xf numFmtId="4" fontId="6" fillId="3" borderId="17" xfId="0" applyNumberFormat="1" applyFont="1" applyFill="1" applyBorder="1"/>
    <xf numFmtId="4" fontId="9" fillId="3" borderId="17" xfId="0" applyNumberFormat="1" applyFont="1" applyFill="1" applyBorder="1"/>
    <xf numFmtId="0" fontId="6" fillId="3" borderId="13" xfId="0" applyFont="1" applyFill="1" applyBorder="1" applyAlignment="1">
      <alignment wrapText="1"/>
    </xf>
    <xf numFmtId="4" fontId="6" fillId="0" borderId="5" xfId="0" applyNumberFormat="1" applyFont="1" applyFill="1" applyBorder="1"/>
    <xf numFmtId="0" fontId="9" fillId="0" borderId="2" xfId="0" applyFont="1" applyFill="1" applyBorder="1" applyAlignment="1">
      <alignment wrapText="1"/>
    </xf>
    <xf numFmtId="0" fontId="0" fillId="0" borderId="9" xfId="0" applyFill="1" applyBorder="1" applyAlignment="1">
      <alignment wrapText="1"/>
    </xf>
    <xf numFmtId="0" fontId="5" fillId="0" borderId="13" xfId="0" applyFont="1" applyFill="1" applyBorder="1" applyAlignment="1"/>
    <xf numFmtId="0" fontId="0" fillId="0" borderId="16" xfId="0" applyFill="1" applyBorder="1" applyAlignment="1">
      <alignment wrapText="1"/>
    </xf>
    <xf numFmtId="0" fontId="0" fillId="0" borderId="15" xfId="0" applyFill="1" applyBorder="1" applyAlignment="1">
      <alignment wrapText="1"/>
    </xf>
    <xf numFmtId="0" fontId="4" fillId="0" borderId="2" xfId="0" applyFont="1" applyFill="1" applyBorder="1"/>
    <xf numFmtId="0" fontId="6" fillId="0" borderId="13" xfId="0" applyFont="1" applyFill="1" applyBorder="1"/>
    <xf numFmtId="0" fontId="17" fillId="0" borderId="16" xfId="0" applyFont="1" applyFill="1" applyBorder="1" applyAlignment="1">
      <alignment wrapText="1"/>
    </xf>
    <xf numFmtId="4" fontId="17" fillId="0" borderId="16" xfId="0" applyNumberFormat="1" applyFont="1" applyFill="1" applyBorder="1"/>
    <xf numFmtId="4" fontId="8" fillId="0" borderId="16" xfId="0" applyNumberFormat="1" applyFont="1" applyFill="1" applyBorder="1"/>
    <xf numFmtId="4" fontId="0" fillId="2" borderId="3" xfId="0" applyNumberFormat="1" applyFill="1" applyBorder="1"/>
    <xf numFmtId="0" fontId="0" fillId="0" borderId="0" xfId="0"/>
    <xf numFmtId="0" fontId="23" fillId="0" borderId="0" xfId="0" applyFont="1"/>
    <xf numFmtId="9" fontId="0" fillId="0" borderId="0" xfId="4" applyFont="1"/>
    <xf numFmtId="0" fontId="0" fillId="0" borderId="0" xfId="0" applyAlignment="1">
      <alignment horizontal="center"/>
    </xf>
    <xf numFmtId="0" fontId="23" fillId="0" borderId="0" xfId="0" applyFont="1" applyAlignment="1">
      <alignment horizontal="left"/>
    </xf>
    <xf numFmtId="9" fontId="0" fillId="0" borderId="0" xfId="0" applyNumberFormat="1"/>
    <xf numFmtId="0" fontId="0" fillId="0" borderId="0" xfId="0" applyAlignment="1">
      <alignment wrapText="1"/>
    </xf>
    <xf numFmtId="49" fontId="6" fillId="0" borderId="0" xfId="4" applyNumberFormat="1" applyFont="1" applyFill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Fill="1"/>
    <xf numFmtId="4" fontId="0" fillId="0" borderId="18" xfId="0" applyNumberFormat="1" applyFill="1" applyBorder="1"/>
    <xf numFmtId="4" fontId="0" fillId="0" borderId="29" xfId="0" applyNumberFormat="1" applyFill="1" applyBorder="1"/>
    <xf numFmtId="4" fontId="0" fillId="0" borderId="30" xfId="0" applyNumberFormat="1" applyFill="1" applyBorder="1"/>
    <xf numFmtId="4" fontId="0" fillId="0" borderId="31" xfId="0" applyNumberFormat="1" applyFill="1" applyBorder="1"/>
    <xf numFmtId="4" fontId="0" fillId="0" borderId="32" xfId="0" applyNumberFormat="1" applyFill="1" applyBorder="1"/>
    <xf numFmtId="0" fontId="0" fillId="5" borderId="0" xfId="0" applyFill="1"/>
    <xf numFmtId="0" fontId="6" fillId="5" borderId="10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166" fontId="14" fillId="0" borderId="14" xfId="0" applyNumberFormat="1" applyFont="1" applyBorder="1"/>
    <xf numFmtId="10" fontId="16" fillId="0" borderId="0" xfId="4" applyNumberFormat="1" applyFont="1"/>
    <xf numFmtId="10" fontId="4" fillId="0" borderId="0" xfId="4" applyNumberFormat="1" applyFont="1"/>
    <xf numFmtId="10" fontId="6" fillId="3" borderId="20" xfId="4" applyNumberFormat="1" applyFont="1" applyFill="1" applyBorder="1"/>
    <xf numFmtId="0" fontId="9" fillId="0" borderId="10" xfId="0" applyFont="1" applyFill="1" applyBorder="1" applyAlignment="1">
      <alignment wrapText="1"/>
    </xf>
    <xf numFmtId="4" fontId="9" fillId="0" borderId="17" xfId="0" applyNumberFormat="1" applyFont="1" applyFill="1" applyBorder="1"/>
    <xf numFmtId="0" fontId="0" fillId="0" borderId="16" xfId="0" applyFill="1" applyBorder="1"/>
    <xf numFmtId="0" fontId="4" fillId="6" borderId="21" xfId="0" applyFont="1" applyFill="1" applyBorder="1"/>
    <xf numFmtId="0" fontId="4" fillId="6" borderId="20" xfId="0" applyFont="1" applyFill="1" applyBorder="1" applyAlignment="1">
      <alignment vertical="center"/>
    </xf>
    <xf numFmtId="0" fontId="4" fillId="6" borderId="22" xfId="0" applyFont="1" applyFill="1" applyBorder="1" applyAlignment="1">
      <alignment vertical="center"/>
    </xf>
    <xf numFmtId="0" fontId="23" fillId="6" borderId="0" xfId="0" applyFont="1" applyFill="1" applyAlignment="1">
      <alignment horizontal="left"/>
    </xf>
    <xf numFmtId="0" fontId="7" fillId="0" borderId="26" xfId="0" applyFont="1" applyFill="1" applyBorder="1"/>
    <xf numFmtId="4" fontId="7" fillId="0" borderId="3" xfId="0" applyNumberFormat="1" applyFont="1" applyFill="1" applyBorder="1"/>
    <xf numFmtId="4" fontId="7" fillId="3" borderId="3" xfId="0" applyNumberFormat="1" applyFont="1" applyFill="1" applyBorder="1"/>
    <xf numFmtId="4" fontId="6" fillId="2" borderId="14" xfId="0" applyNumberFormat="1" applyFont="1" applyFill="1" applyBorder="1"/>
    <xf numFmtId="0" fontId="0" fillId="0" borderId="26" xfId="0" applyFill="1" applyBorder="1"/>
    <xf numFmtId="9" fontId="6" fillId="2" borderId="20" xfId="4" applyNumberFormat="1" applyFont="1" applyFill="1" applyBorder="1"/>
    <xf numFmtId="9" fontId="0" fillId="0" borderId="0" xfId="4" applyNumberFormat="1" applyFont="1"/>
    <xf numFmtId="9" fontId="4" fillId="0" borderId="0" xfId="4" applyNumberFormat="1" applyFont="1"/>
    <xf numFmtId="0" fontId="15" fillId="5" borderId="12" xfId="0" applyFont="1" applyFill="1" applyBorder="1" applyAlignment="1">
      <alignment horizontal="center"/>
    </xf>
    <xf numFmtId="0" fontId="15" fillId="5" borderId="19" xfId="0" applyFont="1" applyFill="1" applyBorder="1" applyAlignment="1">
      <alignment horizontal="center"/>
    </xf>
    <xf numFmtId="0" fontId="15" fillId="5" borderId="14" xfId="0" applyFont="1" applyFill="1" applyBorder="1" applyAlignment="1">
      <alignment horizontal="center"/>
    </xf>
    <xf numFmtId="0" fontId="6" fillId="5" borderId="25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  <xf numFmtId="0" fontId="6" fillId="5" borderId="0" xfId="0" applyFont="1" applyFill="1" applyAlignment="1">
      <alignment horizontal="center"/>
    </xf>
  </cellXfs>
  <cellStyles count="21">
    <cellStyle name="Millares [0] 2" xfId="15" xr:uid="{00000000-0005-0000-0000-000039000000}"/>
    <cellStyle name="Millares [0] 3" xfId="16" xr:uid="{00000000-0005-0000-0000-00003F000000}"/>
    <cellStyle name="Millares [0] 4" xfId="17" xr:uid="{00000000-0005-0000-0000-00003E000000}"/>
    <cellStyle name="Millares 2" xfId="2" xr:uid="{00000000-0005-0000-0000-000000000000}"/>
    <cellStyle name="Millares 2 2" xfId="10" xr:uid="{00000000-0005-0000-0000-000001000000}"/>
    <cellStyle name="Millares 3" xfId="7" xr:uid="{00000000-0005-0000-0000-000001000000}"/>
    <cellStyle name="Millares 3 2" xfId="12" xr:uid="{00000000-0005-0000-0000-000002000000}"/>
    <cellStyle name="Millares 3 3" xfId="18" xr:uid="{00000000-0005-0000-0000-000002000000}"/>
    <cellStyle name="Millares 4" xfId="8" xr:uid="{00000000-0005-0000-0000-000002000000}"/>
    <cellStyle name="Millares 4 2" xfId="13" xr:uid="{00000000-0005-0000-0000-000003000000}"/>
    <cellStyle name="Moneda [0] 2" xfId="20" xr:uid="{00000000-0005-0000-0000-000040000000}"/>
    <cellStyle name="Normal" xfId="0" builtinId="0"/>
    <cellStyle name="Normal 2" xfId="1" xr:uid="{00000000-0005-0000-0000-000004000000}"/>
    <cellStyle name="Normal 2 2" xfId="19" xr:uid="{00000000-0005-0000-0000-000006000000}"/>
    <cellStyle name="Normal 3" xfId="6" xr:uid="{00000000-0005-0000-0000-000005000000}"/>
    <cellStyle name="Normal 3 2" xfId="11" xr:uid="{00000000-0005-0000-0000-000006000000}"/>
    <cellStyle name="Porcentaje" xfId="4" builtinId="5"/>
    <cellStyle name="Porcentaje 2" xfId="5" xr:uid="{00000000-0005-0000-0000-000007000000}"/>
    <cellStyle name="Porcentaje 3" xfId="9" xr:uid="{00000000-0005-0000-0000-000008000000}"/>
    <cellStyle name="Porcentaje 3 2" xfId="14" xr:uid="{00000000-0005-0000-0000-000009000000}"/>
    <cellStyle name="Porcentual 2" xfId="3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33CC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2"/>
  <sheetViews>
    <sheetView tabSelected="1" workbookViewId="0">
      <pane xSplit="1" ySplit="6" topLeftCell="B7" activePane="bottomRight" state="frozen"/>
      <selection pane="topRight" activeCell="B1" sqref="B1"/>
      <selection pane="bottomLeft" activeCell="A6" sqref="A6"/>
      <selection pane="bottomRight" activeCell="H1" sqref="H1:H1048576"/>
    </sheetView>
  </sheetViews>
  <sheetFormatPr baseColWidth="10" defaultColWidth="9.140625" defaultRowHeight="12.75" x14ac:dyDescent="0.2"/>
  <cols>
    <col min="1" max="1" width="43.85546875" customWidth="1"/>
    <col min="2" max="2" width="18.140625" customWidth="1"/>
    <col min="3" max="3" width="17.140625" customWidth="1"/>
    <col min="4" max="4" width="16.42578125" bestFit="1" customWidth="1"/>
    <col min="5" max="5" width="15" bestFit="1" customWidth="1"/>
    <col min="6" max="6" width="17" customWidth="1"/>
    <col min="7" max="7" width="16.42578125" bestFit="1" customWidth="1"/>
    <col min="8" max="8" width="13.140625" customWidth="1"/>
    <col min="9" max="9" width="9.140625" customWidth="1"/>
    <col min="10" max="10" width="11.7109375" bestFit="1" customWidth="1"/>
    <col min="13" max="13" width="12" bestFit="1" customWidth="1"/>
  </cols>
  <sheetData>
    <row r="1" spans="1:8" x14ac:dyDescent="0.2">
      <c r="A1" s="164" t="s">
        <v>67</v>
      </c>
      <c r="B1" s="164"/>
      <c r="C1" s="164"/>
      <c r="D1" s="164"/>
      <c r="E1" s="164"/>
      <c r="F1" s="164"/>
      <c r="G1" s="164"/>
    </row>
    <row r="2" spans="1:8" x14ac:dyDescent="0.2">
      <c r="A2" s="161" t="s">
        <v>64</v>
      </c>
      <c r="B2" s="162"/>
      <c r="C2" s="162"/>
      <c r="D2" s="162"/>
      <c r="E2" s="162"/>
      <c r="F2" s="162"/>
      <c r="G2" s="163"/>
    </row>
    <row r="3" spans="1:8" x14ac:dyDescent="0.2">
      <c r="A3" s="91" t="s">
        <v>25</v>
      </c>
      <c r="B3" s="92" t="s">
        <v>91</v>
      </c>
      <c r="C3" s="92" t="s">
        <v>88</v>
      </c>
      <c r="D3" s="92" t="s">
        <v>85</v>
      </c>
      <c r="E3" s="92" t="s">
        <v>87</v>
      </c>
      <c r="F3" s="92" t="s">
        <v>91</v>
      </c>
      <c r="G3" s="92" t="s">
        <v>87</v>
      </c>
    </row>
    <row r="4" spans="1:8" ht="15" customHeight="1" x14ac:dyDescent="0.2">
      <c r="A4" s="91"/>
      <c r="B4" s="93" t="s">
        <v>89</v>
      </c>
      <c r="C4" s="93" t="s">
        <v>82</v>
      </c>
      <c r="D4" s="93" t="s">
        <v>87</v>
      </c>
      <c r="E4" s="93" t="s">
        <v>90</v>
      </c>
      <c r="F4" s="93" t="s">
        <v>92</v>
      </c>
      <c r="G4" s="93" t="s">
        <v>93</v>
      </c>
    </row>
    <row r="5" spans="1:8" ht="28.5" customHeight="1" x14ac:dyDescent="0.2">
      <c r="A5" s="94"/>
      <c r="B5" s="95" t="s">
        <v>151</v>
      </c>
      <c r="C5" s="95" t="s">
        <v>180</v>
      </c>
      <c r="D5" s="95" t="s">
        <v>180</v>
      </c>
      <c r="E5" s="95" t="s">
        <v>180</v>
      </c>
      <c r="F5" s="95" t="s">
        <v>180</v>
      </c>
      <c r="G5" s="95" t="s">
        <v>180</v>
      </c>
    </row>
    <row r="6" spans="1:8" ht="15" x14ac:dyDescent="0.25">
      <c r="A6" s="6" t="s">
        <v>26</v>
      </c>
      <c r="B6" s="7">
        <f t="shared" ref="B6:E6" si="0">SUM(B7:B20)</f>
        <v>968365536</v>
      </c>
      <c r="C6" s="22">
        <f t="shared" si="0"/>
        <v>0</v>
      </c>
      <c r="D6" s="7">
        <f t="shared" si="0"/>
        <v>968365536</v>
      </c>
      <c r="E6" s="22">
        <f t="shared" si="0"/>
        <v>58881442.549999997</v>
      </c>
      <c r="F6" s="7">
        <f>SUM(F7:F20)</f>
        <v>555694511.63999999</v>
      </c>
      <c r="G6" s="7">
        <f>D6-E6-F6</f>
        <v>353789581.81000006</v>
      </c>
    </row>
    <row r="7" spans="1:8" x14ac:dyDescent="0.2">
      <c r="A7" s="5" t="s">
        <v>27</v>
      </c>
      <c r="B7" s="8">
        <v>340207204</v>
      </c>
      <c r="C7" s="21"/>
      <c r="D7" s="8">
        <f>+B7+C7</f>
        <v>340207204</v>
      </c>
      <c r="E7" s="21"/>
      <c r="F7" s="8">
        <v>205053083.31999999</v>
      </c>
      <c r="G7" s="8">
        <f>D7-E7-F7</f>
        <v>135154120.68000001</v>
      </c>
      <c r="H7" s="101"/>
    </row>
    <row r="8" spans="1:8" x14ac:dyDescent="0.2">
      <c r="A8" s="3" t="s">
        <v>68</v>
      </c>
      <c r="B8" s="9">
        <v>2000000</v>
      </c>
      <c r="C8" s="23"/>
      <c r="D8" s="9">
        <f>+B8+C8</f>
        <v>2000000</v>
      </c>
      <c r="E8" s="23"/>
      <c r="F8" s="9"/>
      <c r="G8" s="8">
        <f>D8-E8-F8</f>
        <v>2000000</v>
      </c>
      <c r="H8" s="101"/>
    </row>
    <row r="9" spans="1:8" x14ac:dyDescent="0.2">
      <c r="A9" s="4" t="s">
        <v>28</v>
      </c>
      <c r="B9" s="9">
        <f>9000000</f>
        <v>9000000</v>
      </c>
      <c r="C9" s="23"/>
      <c r="D9" s="9">
        <f t="shared" ref="D9:D20" si="1">+B9+C9</f>
        <v>9000000</v>
      </c>
      <c r="E9" s="23"/>
      <c r="F9" s="9">
        <v>5109158</v>
      </c>
      <c r="G9" s="8">
        <f>D9-E9-F9</f>
        <v>3890842</v>
      </c>
      <c r="H9" s="101"/>
    </row>
    <row r="10" spans="1:8" x14ac:dyDescent="0.2">
      <c r="A10" s="4" t="s">
        <v>29</v>
      </c>
      <c r="B10" s="9">
        <v>106175406</v>
      </c>
      <c r="C10" s="23"/>
      <c r="D10" s="9">
        <f t="shared" si="1"/>
        <v>106175406</v>
      </c>
      <c r="E10" s="23"/>
      <c r="F10" s="20">
        <v>55758465.329999998</v>
      </c>
      <c r="G10" s="9">
        <f>D10-E10-F10</f>
        <v>50416940.670000002</v>
      </c>
      <c r="H10" s="101"/>
    </row>
    <row r="11" spans="1:8" x14ac:dyDescent="0.2">
      <c r="A11" s="4" t="s">
        <v>30</v>
      </c>
      <c r="B11" s="9">
        <v>164566982</v>
      </c>
      <c r="C11" s="23"/>
      <c r="D11" s="9">
        <f t="shared" si="1"/>
        <v>164566982</v>
      </c>
      <c r="E11" s="23"/>
      <c r="F11" s="9">
        <v>97284543.420000002</v>
      </c>
      <c r="G11" s="9">
        <f>D11-E11-F11</f>
        <v>67282438.579999998</v>
      </c>
      <c r="H11" s="143"/>
    </row>
    <row r="12" spans="1:8" x14ac:dyDescent="0.2">
      <c r="A12" s="4" t="s">
        <v>31</v>
      </c>
      <c r="B12" s="9">
        <v>59272218</v>
      </c>
      <c r="C12" s="23"/>
      <c r="D12" s="9">
        <f t="shared" si="1"/>
        <v>59272218</v>
      </c>
      <c r="E12" s="23"/>
      <c r="F12" s="9"/>
      <c r="G12" s="9">
        <f>D12-E12-F12</f>
        <v>59272218</v>
      </c>
      <c r="H12" s="143"/>
    </row>
    <row r="13" spans="1:8" x14ac:dyDescent="0.2">
      <c r="A13" s="4" t="s">
        <v>32</v>
      </c>
      <c r="B13" s="9">
        <v>50066589</v>
      </c>
      <c r="C13" s="23"/>
      <c r="D13" s="9">
        <f t="shared" si="1"/>
        <v>50066589</v>
      </c>
      <c r="E13" s="23"/>
      <c r="F13" s="9">
        <v>47113868.799999997</v>
      </c>
      <c r="G13" s="9">
        <f>D13-E13-F13</f>
        <v>2952720.200000003</v>
      </c>
    </row>
    <row r="14" spans="1:8" x14ac:dyDescent="0.2">
      <c r="A14" s="4" t="s">
        <v>33</v>
      </c>
      <c r="B14" s="9">
        <v>39534408</v>
      </c>
      <c r="C14" s="23"/>
      <c r="D14" s="9">
        <f t="shared" si="1"/>
        <v>39534408</v>
      </c>
      <c r="E14" s="9"/>
      <c r="F14" s="9">
        <v>18707890.32</v>
      </c>
      <c r="G14" s="9">
        <f>D14-E14-F14</f>
        <v>20826517.68</v>
      </c>
    </row>
    <row r="15" spans="1:8" x14ac:dyDescent="0.2">
      <c r="A15" s="4" t="s">
        <v>34</v>
      </c>
      <c r="B15" s="9">
        <v>65818429</v>
      </c>
      <c r="C15" s="23"/>
      <c r="D15" s="9">
        <f t="shared" si="1"/>
        <v>65818429</v>
      </c>
      <c r="E15" s="9">
        <v>20377451</v>
      </c>
      <c r="F15" s="9">
        <v>39701583</v>
      </c>
      <c r="G15" s="9">
        <f>D15-E15-F15</f>
        <v>5739395</v>
      </c>
    </row>
    <row r="16" spans="1:8" x14ac:dyDescent="0.2">
      <c r="A16" s="4" t="s">
        <v>35</v>
      </c>
      <c r="B16" s="9">
        <v>3557753</v>
      </c>
      <c r="C16" s="23"/>
      <c r="D16" s="9">
        <f t="shared" si="1"/>
        <v>3557753</v>
      </c>
      <c r="E16" s="9">
        <v>1101480</v>
      </c>
      <c r="F16" s="9">
        <v>2146036</v>
      </c>
      <c r="G16" s="9">
        <f>D16-E16-F16</f>
        <v>310237</v>
      </c>
    </row>
    <row r="17" spans="1:11" ht="25.5" x14ac:dyDescent="0.2">
      <c r="A17" s="52" t="s">
        <v>36</v>
      </c>
      <c r="B17" s="9">
        <v>36146770</v>
      </c>
      <c r="C17" s="23"/>
      <c r="D17" s="9">
        <f t="shared" si="1"/>
        <v>36146770</v>
      </c>
      <c r="E17" s="9">
        <v>11191075</v>
      </c>
      <c r="F17" s="9">
        <v>21803681</v>
      </c>
      <c r="G17" s="9">
        <f>D17-E17-F17</f>
        <v>3152014</v>
      </c>
    </row>
    <row r="18" spans="1:11" ht="25.5" x14ac:dyDescent="0.2">
      <c r="A18" s="52" t="s">
        <v>37</v>
      </c>
      <c r="B18" s="9">
        <v>10673259</v>
      </c>
      <c r="C18" s="23"/>
      <c r="D18" s="9">
        <f t="shared" si="1"/>
        <v>10673259</v>
      </c>
      <c r="E18" s="9">
        <v>3304462</v>
      </c>
      <c r="F18" s="9">
        <v>6438084</v>
      </c>
      <c r="G18" s="9">
        <f>D18-E18-F18</f>
        <v>930713</v>
      </c>
    </row>
    <row r="19" spans="1:11" ht="25.5" x14ac:dyDescent="0.2">
      <c r="A19" s="52" t="s">
        <v>38</v>
      </c>
      <c r="B19" s="9">
        <v>21346518</v>
      </c>
      <c r="C19" s="23"/>
      <c r="D19" s="9">
        <f t="shared" si="1"/>
        <v>21346518</v>
      </c>
      <c r="E19" s="9">
        <v>6608897</v>
      </c>
      <c r="F19" s="9">
        <v>12876196</v>
      </c>
      <c r="G19" s="9">
        <f>D19-E19-F19</f>
        <v>1861425</v>
      </c>
    </row>
    <row r="20" spans="1:11" ht="25.5" x14ac:dyDescent="0.2">
      <c r="A20" s="53" t="s">
        <v>95</v>
      </c>
      <c r="B20" s="9">
        <v>60000000</v>
      </c>
      <c r="C20" s="51"/>
      <c r="D20" s="9">
        <f t="shared" si="1"/>
        <v>60000000</v>
      </c>
      <c r="E20" s="9">
        <v>16298077.550000001</v>
      </c>
      <c r="F20" s="9">
        <v>43701922.450000003</v>
      </c>
      <c r="G20" s="9">
        <f>D20-E20-F20</f>
        <v>0</v>
      </c>
    </row>
    <row r="21" spans="1:11" ht="15" x14ac:dyDescent="0.25">
      <c r="A21" s="6" t="s">
        <v>39</v>
      </c>
      <c r="B21" s="7">
        <f t="shared" ref="B21:E21" si="2">SUM(B22:B61)</f>
        <v>1079453595</v>
      </c>
      <c r="C21" s="22">
        <f t="shared" si="2"/>
        <v>0</v>
      </c>
      <c r="D21" s="10">
        <f t="shared" si="2"/>
        <v>1079453595</v>
      </c>
      <c r="E21" s="10">
        <f t="shared" si="2"/>
        <v>136504793.79999998</v>
      </c>
      <c r="F21" s="10">
        <f>SUM(F22:F61)</f>
        <v>454705862.62</v>
      </c>
      <c r="G21" s="10">
        <f>D21-E21-F21</f>
        <v>488242938.58000004</v>
      </c>
      <c r="H21" s="158"/>
    </row>
    <row r="22" spans="1:11" ht="24.75" customHeight="1" x14ac:dyDescent="0.2">
      <c r="A22" s="148" t="s">
        <v>40</v>
      </c>
      <c r="B22" s="21">
        <v>440000777</v>
      </c>
      <c r="C22" s="24"/>
      <c r="D22" s="24">
        <f>+B22+C22</f>
        <v>440000777</v>
      </c>
      <c r="E22" s="27">
        <v>39515414</v>
      </c>
      <c r="F22" s="24">
        <v>287601790.94</v>
      </c>
      <c r="G22" s="49">
        <f>D22-E22-F22</f>
        <v>112883572.06</v>
      </c>
      <c r="H22" s="159"/>
    </row>
    <row r="23" spans="1:11" ht="37.5" customHeight="1" x14ac:dyDescent="0.2">
      <c r="A23" s="113" t="s">
        <v>119</v>
      </c>
      <c r="B23" s="45">
        <f>40500000-12000000</f>
        <v>28500000</v>
      </c>
      <c r="C23" s="45"/>
      <c r="D23" s="45">
        <f>+B23+C23</f>
        <v>28500000</v>
      </c>
      <c r="E23" s="26">
        <v>16486324.949999999</v>
      </c>
      <c r="F23" s="26">
        <v>960000</v>
      </c>
      <c r="G23" s="26">
        <f>+D23-E23-F23</f>
        <v>11053675.050000001</v>
      </c>
      <c r="H23" s="160"/>
      <c r="J23" s="1"/>
      <c r="K23">
        <f>40500000-28500000</f>
        <v>12000000</v>
      </c>
    </row>
    <row r="24" spans="1:11" x14ac:dyDescent="0.2">
      <c r="A24" s="50" t="s">
        <v>111</v>
      </c>
      <c r="B24" s="45">
        <v>0</v>
      </c>
      <c r="C24" s="21"/>
      <c r="D24" s="21">
        <f>+B24+C24</f>
        <v>0</v>
      </c>
      <c r="E24" s="24"/>
      <c r="F24" s="24"/>
      <c r="G24" s="24">
        <f>D24-E24-F24</f>
        <v>0</v>
      </c>
      <c r="H24" s="129"/>
    </row>
    <row r="25" spans="1:11" x14ac:dyDescent="0.2">
      <c r="A25" s="50" t="s">
        <v>97</v>
      </c>
      <c r="B25" s="45">
        <v>0</v>
      </c>
      <c r="C25" s="21"/>
      <c r="D25" s="21">
        <v>0</v>
      </c>
      <c r="E25" s="24"/>
      <c r="F25" s="24"/>
      <c r="G25" s="24">
        <f>D25-E25-F25</f>
        <v>0</v>
      </c>
      <c r="H25" s="129"/>
    </row>
    <row r="26" spans="1:11" ht="22.5" customHeight="1" x14ac:dyDescent="0.2">
      <c r="A26" s="73" t="s">
        <v>113</v>
      </c>
      <c r="B26" s="45">
        <v>0</v>
      </c>
      <c r="C26" s="21"/>
      <c r="D26" s="21">
        <f t="shared" ref="D26:D61" si="3">+B26+C26</f>
        <v>0</v>
      </c>
      <c r="E26" s="24"/>
      <c r="F26" s="24"/>
      <c r="G26" s="24">
        <f>D26-E26-F26</f>
        <v>0</v>
      </c>
    </row>
    <row r="27" spans="1:11" x14ac:dyDescent="0.2">
      <c r="A27" s="106" t="s">
        <v>41</v>
      </c>
      <c r="B27" s="45">
        <v>1500000</v>
      </c>
      <c r="C27" s="21"/>
      <c r="D27" s="45">
        <f t="shared" si="3"/>
        <v>1500000</v>
      </c>
      <c r="E27" s="90">
        <v>180757.92</v>
      </c>
      <c r="F27" s="21">
        <v>944242.08</v>
      </c>
      <c r="G27" s="21">
        <f>D27-E27-F27</f>
        <v>375000.00000000012</v>
      </c>
    </row>
    <row r="28" spans="1:11" x14ac:dyDescent="0.2">
      <c r="A28" s="50" t="s">
        <v>42</v>
      </c>
      <c r="B28" s="45">
        <f>36313297+1200000</f>
        <v>37513297</v>
      </c>
      <c r="C28" s="21"/>
      <c r="D28" s="45">
        <f t="shared" si="3"/>
        <v>37513297</v>
      </c>
      <c r="E28" s="21">
        <v>4747228</v>
      </c>
      <c r="F28" s="21">
        <v>23409420</v>
      </c>
      <c r="G28" s="21">
        <f>D28-E28-F28</f>
        <v>9356649</v>
      </c>
    </row>
    <row r="29" spans="1:11" x14ac:dyDescent="0.2">
      <c r="A29" s="106" t="s">
        <v>120</v>
      </c>
      <c r="B29" s="90">
        <v>200000</v>
      </c>
      <c r="C29" s="21"/>
      <c r="D29" s="45">
        <f t="shared" si="3"/>
        <v>200000</v>
      </c>
      <c r="E29" s="21">
        <v>26713.51</v>
      </c>
      <c r="F29" s="21">
        <v>173286.49</v>
      </c>
      <c r="G29" s="21">
        <f>D29-E29-F29</f>
        <v>0</v>
      </c>
    </row>
    <row r="30" spans="1:11" x14ac:dyDescent="0.2">
      <c r="A30" s="50" t="s">
        <v>43</v>
      </c>
      <c r="B30" s="45">
        <f>40000000-3100000</f>
        <v>36900000</v>
      </c>
      <c r="C30" s="21"/>
      <c r="D30" s="45">
        <f t="shared" si="3"/>
        <v>36900000</v>
      </c>
      <c r="E30" s="21">
        <v>2075213.9</v>
      </c>
      <c r="F30" s="21">
        <v>15151723.1</v>
      </c>
      <c r="G30" s="21">
        <f>D30-E30-F30</f>
        <v>19673063</v>
      </c>
    </row>
    <row r="31" spans="1:11" x14ac:dyDescent="0.2">
      <c r="A31" s="106" t="s">
        <v>44</v>
      </c>
      <c r="B31" s="45">
        <v>0</v>
      </c>
      <c r="C31" s="21"/>
      <c r="D31" s="45">
        <f t="shared" si="3"/>
        <v>0</v>
      </c>
      <c r="E31" s="21"/>
      <c r="F31" s="21"/>
      <c r="G31" s="21">
        <f>D31-E31-F31</f>
        <v>0</v>
      </c>
    </row>
    <row r="32" spans="1:11" x14ac:dyDescent="0.2">
      <c r="A32" s="50" t="s">
        <v>45</v>
      </c>
      <c r="B32" s="45">
        <v>7500000</v>
      </c>
      <c r="C32" s="21"/>
      <c r="D32" s="45">
        <f t="shared" si="3"/>
        <v>7500000</v>
      </c>
      <c r="E32" s="21">
        <v>3444612</v>
      </c>
      <c r="F32" s="21">
        <v>3405388</v>
      </c>
      <c r="G32" s="21">
        <f>D32-E32-F32</f>
        <v>650000</v>
      </c>
    </row>
    <row r="33" spans="1:8" x14ac:dyDescent="0.2">
      <c r="A33" s="106" t="s">
        <v>121</v>
      </c>
      <c r="B33" s="45">
        <v>1000000</v>
      </c>
      <c r="C33" s="21"/>
      <c r="D33" s="45">
        <f t="shared" si="3"/>
        <v>1000000</v>
      </c>
      <c r="E33" s="21">
        <v>270501.76000000001</v>
      </c>
      <c r="F33" s="21">
        <v>449357.28</v>
      </c>
      <c r="G33" s="21">
        <f>D33-E33-F33</f>
        <v>280140.95999999996</v>
      </c>
      <c r="H33" s="132"/>
    </row>
    <row r="34" spans="1:8" ht="29.45" customHeight="1" x14ac:dyDescent="0.2">
      <c r="A34" s="106" t="s">
        <v>47</v>
      </c>
      <c r="B34" s="45">
        <v>0</v>
      </c>
      <c r="C34" s="21"/>
      <c r="D34" s="45">
        <f t="shared" si="3"/>
        <v>0</v>
      </c>
      <c r="E34" s="24"/>
      <c r="F34" s="24"/>
      <c r="G34" s="24">
        <f>D34-E34-F34</f>
        <v>0</v>
      </c>
    </row>
    <row r="35" spans="1:8" x14ac:dyDescent="0.2">
      <c r="A35" s="50" t="s">
        <v>83</v>
      </c>
      <c r="B35" s="45">
        <v>0</v>
      </c>
      <c r="C35" s="21"/>
      <c r="D35" s="45">
        <f t="shared" si="3"/>
        <v>0</v>
      </c>
      <c r="E35" s="24"/>
      <c r="F35" s="24"/>
      <c r="G35" s="24">
        <f>D35-E35-F35</f>
        <v>0</v>
      </c>
    </row>
    <row r="36" spans="1:8" x14ac:dyDescent="0.2">
      <c r="A36" s="106" t="s">
        <v>69</v>
      </c>
      <c r="B36" s="45">
        <v>0</v>
      </c>
      <c r="C36" s="21"/>
      <c r="D36" s="45">
        <f t="shared" si="3"/>
        <v>0</v>
      </c>
      <c r="E36" s="24"/>
      <c r="F36" s="24"/>
      <c r="G36" s="24">
        <f>D36-E36-F36</f>
        <v>0</v>
      </c>
    </row>
    <row r="37" spans="1:8" ht="62.45" customHeight="1" x14ac:dyDescent="0.2">
      <c r="A37" s="106" t="s">
        <v>122</v>
      </c>
      <c r="B37" s="45">
        <f>1000000-1000000</f>
        <v>0</v>
      </c>
      <c r="C37" s="21"/>
      <c r="D37" s="45">
        <f t="shared" si="3"/>
        <v>0</v>
      </c>
      <c r="E37" s="24"/>
      <c r="F37" s="24"/>
      <c r="G37" s="24">
        <f>D37-E37-F37</f>
        <v>0</v>
      </c>
    </row>
    <row r="38" spans="1:8" x14ac:dyDescent="0.2">
      <c r="A38" s="50" t="s">
        <v>24</v>
      </c>
      <c r="B38" s="45">
        <v>62856000</v>
      </c>
      <c r="C38" s="21"/>
      <c r="D38" s="45">
        <f t="shared" si="3"/>
        <v>62856000</v>
      </c>
      <c r="E38" s="24"/>
      <c r="F38" s="24"/>
      <c r="G38" s="24">
        <f>D38-E38-F38</f>
        <v>62856000</v>
      </c>
    </row>
    <row r="39" spans="1:8" x14ac:dyDescent="0.2">
      <c r="A39" s="50" t="s">
        <v>154</v>
      </c>
      <c r="B39" s="45">
        <f>31428000+80000000</f>
        <v>111428000</v>
      </c>
      <c r="C39" s="21"/>
      <c r="D39" s="45">
        <f t="shared" ref="D39" si="4">+B39+C39</f>
        <v>111428000</v>
      </c>
      <c r="E39" s="24"/>
      <c r="F39" s="24"/>
      <c r="G39" s="24">
        <f>D39-E39-F39</f>
        <v>111428000</v>
      </c>
    </row>
    <row r="40" spans="1:8" x14ac:dyDescent="0.2">
      <c r="A40" s="50" t="s">
        <v>74</v>
      </c>
      <c r="B40" s="45">
        <f>146664000-80000000</f>
        <v>66664000</v>
      </c>
      <c r="C40" s="21"/>
      <c r="D40" s="45">
        <f t="shared" si="3"/>
        <v>66664000</v>
      </c>
      <c r="E40" s="24">
        <f>4488750+4788000</f>
        <v>9276750</v>
      </c>
      <c r="F40" s="24"/>
      <c r="G40" s="24">
        <f>D40-E40-F40</f>
        <v>57387250</v>
      </c>
      <c r="H40" s="131"/>
    </row>
    <row r="41" spans="1:8" ht="37.15" customHeight="1" x14ac:dyDescent="0.2">
      <c r="A41" s="73" t="s">
        <v>123</v>
      </c>
      <c r="B41" s="90">
        <v>0</v>
      </c>
      <c r="C41" s="46"/>
      <c r="D41" s="45">
        <f t="shared" si="3"/>
        <v>0</v>
      </c>
      <c r="E41" s="26"/>
      <c r="F41" s="27"/>
      <c r="G41" s="24">
        <f>D41-E41-F41</f>
        <v>0</v>
      </c>
    </row>
    <row r="42" spans="1:8" x14ac:dyDescent="0.2">
      <c r="A42" s="50" t="s">
        <v>49</v>
      </c>
      <c r="B42" s="90">
        <f>28500000+12000000</f>
        <v>40500000</v>
      </c>
      <c r="C42" s="21"/>
      <c r="D42" s="45">
        <f t="shared" si="3"/>
        <v>40500000</v>
      </c>
      <c r="E42" s="24">
        <v>6220057.3799999999</v>
      </c>
      <c r="F42" s="24">
        <v>21737096.43</v>
      </c>
      <c r="G42" s="24">
        <f>D42-E42-F42</f>
        <v>12542846.189999998</v>
      </c>
      <c r="H42" s="132"/>
    </row>
    <row r="43" spans="1:8" ht="24" x14ac:dyDescent="0.2">
      <c r="A43" s="113" t="s">
        <v>101</v>
      </c>
      <c r="B43" s="45">
        <v>125000</v>
      </c>
      <c r="C43" s="21"/>
      <c r="D43" s="45">
        <f t="shared" si="3"/>
        <v>125000</v>
      </c>
      <c r="E43" s="24"/>
      <c r="F43" s="24">
        <v>36480</v>
      </c>
      <c r="G43" s="24">
        <f>D43-E43-F43</f>
        <v>88520</v>
      </c>
      <c r="H43" s="17"/>
    </row>
    <row r="44" spans="1:8" x14ac:dyDescent="0.2">
      <c r="A44" s="50" t="s">
        <v>51</v>
      </c>
      <c r="B44" s="45">
        <v>10900000</v>
      </c>
      <c r="C44" s="21"/>
      <c r="D44" s="45">
        <f t="shared" si="3"/>
        <v>10900000</v>
      </c>
      <c r="E44" s="24">
        <v>1491455.5</v>
      </c>
      <c r="F44" s="24">
        <v>2020919.5</v>
      </c>
      <c r="G44" s="24">
        <f>D44-E44-F44</f>
        <v>7387625</v>
      </c>
      <c r="H44" s="126"/>
    </row>
    <row r="45" spans="1:8" x14ac:dyDescent="0.2">
      <c r="A45" s="50" t="s">
        <v>52</v>
      </c>
      <c r="B45" s="45">
        <v>10500000</v>
      </c>
      <c r="C45" s="21"/>
      <c r="D45" s="45">
        <f t="shared" si="3"/>
        <v>10500000</v>
      </c>
      <c r="E45" s="24">
        <v>2224802.25</v>
      </c>
      <c r="F45" s="24">
        <v>5184692</v>
      </c>
      <c r="G45" s="24">
        <f>D45-E45-F45</f>
        <v>3090505.75</v>
      </c>
      <c r="H45" s="126"/>
    </row>
    <row r="46" spans="1:8" x14ac:dyDescent="0.2">
      <c r="A46" s="50" t="s">
        <v>53</v>
      </c>
      <c r="B46" s="45">
        <v>69625670</v>
      </c>
      <c r="C46" s="21"/>
      <c r="D46" s="45">
        <f t="shared" si="3"/>
        <v>69625670</v>
      </c>
      <c r="E46" s="21">
        <v>332043</v>
      </c>
      <c r="F46" s="21">
        <v>26782543.829999998</v>
      </c>
      <c r="G46" s="21">
        <f>D46-E46-F46</f>
        <v>42511083.170000002</v>
      </c>
      <c r="H46" s="126"/>
    </row>
    <row r="47" spans="1:8" x14ac:dyDescent="0.2">
      <c r="A47" s="50" t="s">
        <v>54</v>
      </c>
      <c r="B47" s="45">
        <v>54500000</v>
      </c>
      <c r="C47" s="21"/>
      <c r="D47" s="45">
        <f t="shared" si="3"/>
        <v>54500000</v>
      </c>
      <c r="E47" s="21">
        <v>19593371.25</v>
      </c>
      <c r="F47" s="21">
        <v>15449828.24</v>
      </c>
      <c r="G47" s="21">
        <f>D47-E47-F47</f>
        <v>19456800.509999998</v>
      </c>
      <c r="H47" s="126"/>
    </row>
    <row r="48" spans="1:8" x14ac:dyDescent="0.2">
      <c r="A48" s="50" t="s">
        <v>55</v>
      </c>
      <c r="B48" s="45">
        <v>14740851</v>
      </c>
      <c r="C48" s="21"/>
      <c r="D48" s="45">
        <f t="shared" si="3"/>
        <v>14740851</v>
      </c>
      <c r="E48" s="21">
        <v>2173000</v>
      </c>
      <c r="F48" s="21">
        <v>8796020</v>
      </c>
      <c r="G48" s="21">
        <f>D48-E48-F48</f>
        <v>3771831</v>
      </c>
      <c r="H48" s="126"/>
    </row>
    <row r="49" spans="1:8" x14ac:dyDescent="0.2">
      <c r="A49" s="73" t="s">
        <v>56</v>
      </c>
      <c r="B49" s="90">
        <v>4000000</v>
      </c>
      <c r="C49" s="46"/>
      <c r="D49" s="45">
        <f t="shared" si="3"/>
        <v>4000000</v>
      </c>
      <c r="E49" s="90">
        <v>1115800</v>
      </c>
      <c r="F49" s="90">
        <v>920186</v>
      </c>
      <c r="G49" s="21">
        <f>D49-E49-F49</f>
        <v>1964014</v>
      </c>
      <c r="H49" s="126"/>
    </row>
    <row r="50" spans="1:8" x14ac:dyDescent="0.2">
      <c r="A50" s="50" t="s">
        <v>57</v>
      </c>
      <c r="B50" s="45">
        <f>4000000</f>
        <v>4000000</v>
      </c>
      <c r="C50" s="21"/>
      <c r="D50" s="45">
        <f t="shared" si="3"/>
        <v>4000000</v>
      </c>
      <c r="E50" s="21">
        <v>1185800</v>
      </c>
      <c r="F50" s="21">
        <v>2345849.61</v>
      </c>
      <c r="G50" s="21">
        <f>D50-E50-F50</f>
        <v>468350.39000000013</v>
      </c>
      <c r="H50" s="126"/>
    </row>
    <row r="51" spans="1:8" x14ac:dyDescent="0.2">
      <c r="A51" s="50" t="s">
        <v>58</v>
      </c>
      <c r="B51" s="45">
        <v>0</v>
      </c>
      <c r="C51" s="21"/>
      <c r="D51" s="45">
        <f t="shared" si="3"/>
        <v>0</v>
      </c>
      <c r="E51" s="24"/>
      <c r="F51" s="24"/>
      <c r="G51" s="24">
        <f>D51-E51-F51</f>
        <v>0</v>
      </c>
      <c r="H51" s="126"/>
    </row>
    <row r="52" spans="1:8" ht="23.25" customHeight="1" x14ac:dyDescent="0.2">
      <c r="A52" s="106" t="s">
        <v>59</v>
      </c>
      <c r="B52" s="45">
        <f>53900000+1500000</f>
        <v>55400000</v>
      </c>
      <c r="C52" s="21"/>
      <c r="D52" s="45">
        <f t="shared" si="3"/>
        <v>55400000</v>
      </c>
      <c r="E52" s="24">
        <v>17123093.84</v>
      </c>
      <c r="F52" s="24">
        <v>36772405.719999999</v>
      </c>
      <c r="G52" s="24">
        <f>D52-E52-F52</f>
        <v>1504500.4399999976</v>
      </c>
      <c r="H52" s="126"/>
    </row>
    <row r="53" spans="1:8" ht="25.5" x14ac:dyDescent="0.2">
      <c r="A53" s="106" t="s">
        <v>124</v>
      </c>
      <c r="B53" s="45">
        <v>5000000</v>
      </c>
      <c r="C53" s="21"/>
      <c r="D53" s="45">
        <f t="shared" si="3"/>
        <v>5000000</v>
      </c>
      <c r="E53" s="24">
        <v>1684789.09</v>
      </c>
      <c r="F53" s="24">
        <v>1620023.9</v>
      </c>
      <c r="G53" s="24">
        <f>D53-E53-F53</f>
        <v>1695187.0100000002</v>
      </c>
      <c r="H53" s="126"/>
    </row>
    <row r="54" spans="1:8" ht="25.5" x14ac:dyDescent="0.2">
      <c r="A54" s="106" t="s">
        <v>125</v>
      </c>
      <c r="B54" s="21">
        <f>2300000-500000</f>
        <v>1800000</v>
      </c>
      <c r="C54" s="21"/>
      <c r="D54" s="45">
        <f t="shared" si="3"/>
        <v>1800000</v>
      </c>
      <c r="E54" s="24"/>
      <c r="F54" s="24"/>
      <c r="G54" s="24">
        <f>D54-E54-F54</f>
        <v>1800000</v>
      </c>
      <c r="H54" s="126"/>
    </row>
    <row r="55" spans="1:8" ht="46.9" customHeight="1" x14ac:dyDescent="0.2">
      <c r="A55" s="106" t="s">
        <v>126</v>
      </c>
      <c r="B55" s="21">
        <f>500000+500000</f>
        <v>1000000</v>
      </c>
      <c r="C55" s="21"/>
      <c r="D55" s="45">
        <f t="shared" si="3"/>
        <v>1000000</v>
      </c>
      <c r="E55" s="24">
        <v>342072</v>
      </c>
      <c r="F55" s="24">
        <v>464209.5</v>
      </c>
      <c r="G55" s="24">
        <f>D55-E55-F55</f>
        <v>193718.5</v>
      </c>
      <c r="H55" s="126"/>
    </row>
    <row r="56" spans="1:8" ht="51" customHeight="1" x14ac:dyDescent="0.2">
      <c r="A56" s="106" t="s">
        <v>61</v>
      </c>
      <c r="B56" s="21">
        <v>13000000</v>
      </c>
      <c r="C56" s="21"/>
      <c r="D56" s="21">
        <f t="shared" si="3"/>
        <v>13000000</v>
      </c>
      <c r="E56" s="24">
        <v>6994993.4500000002</v>
      </c>
      <c r="F56" s="24">
        <v>480400</v>
      </c>
      <c r="G56" s="24">
        <f>D56-E56-F56</f>
        <v>5524606.5499999998</v>
      </c>
      <c r="H56" s="126"/>
    </row>
    <row r="57" spans="1:8" ht="25.5" x14ac:dyDescent="0.2">
      <c r="A57" s="106" t="s">
        <v>70</v>
      </c>
      <c r="B57" s="21"/>
      <c r="C57" s="21"/>
      <c r="D57" s="21">
        <f t="shared" si="3"/>
        <v>0</v>
      </c>
      <c r="E57" s="24"/>
      <c r="F57" s="24"/>
      <c r="G57" s="24">
        <f>D57-E57-F57</f>
        <v>0</v>
      </c>
      <c r="H57" s="126"/>
    </row>
    <row r="58" spans="1:8" ht="22.5" customHeight="1" x14ac:dyDescent="0.2">
      <c r="A58" s="106" t="s">
        <v>94</v>
      </c>
      <c r="B58" s="21">
        <v>300000</v>
      </c>
      <c r="C58" s="21"/>
      <c r="D58" s="21">
        <f t="shared" si="3"/>
        <v>300000</v>
      </c>
      <c r="E58" s="24"/>
      <c r="F58" s="24"/>
      <c r="G58" s="24">
        <f>D58-E58-F58</f>
        <v>300000</v>
      </c>
      <c r="H58" s="126"/>
    </row>
    <row r="59" spans="1:8" ht="25.9" customHeight="1" x14ac:dyDescent="0.2">
      <c r="A59" s="73" t="s">
        <v>118</v>
      </c>
      <c r="B59" s="21">
        <v>0</v>
      </c>
      <c r="C59" s="21"/>
      <c r="D59" s="21">
        <f>+B59+C59</f>
        <v>0</v>
      </c>
      <c r="E59" s="24"/>
      <c r="F59" s="24"/>
      <c r="G59" s="24">
        <f>D59-E59-F59</f>
        <v>0</v>
      </c>
      <c r="H59" s="126"/>
    </row>
    <row r="60" spans="1:8" ht="28.9" customHeight="1" x14ac:dyDescent="0.2">
      <c r="A60" s="106" t="s">
        <v>62</v>
      </c>
      <c r="B60" s="21">
        <v>0</v>
      </c>
      <c r="C60" s="21"/>
      <c r="D60" s="21">
        <f>+B60+C60</f>
        <v>0</v>
      </c>
      <c r="E60" s="24"/>
      <c r="F60" s="24"/>
      <c r="G60" s="24">
        <f>D60-E60-F60</f>
        <v>0</v>
      </c>
    </row>
    <row r="61" spans="1:8" x14ac:dyDescent="0.2">
      <c r="A61" s="114" t="s">
        <v>127</v>
      </c>
      <c r="B61" s="21">
        <v>0</v>
      </c>
      <c r="C61" s="21"/>
      <c r="D61" s="21">
        <f t="shared" si="3"/>
        <v>0</v>
      </c>
      <c r="E61" s="24"/>
      <c r="F61" s="24"/>
      <c r="G61" s="24">
        <f>D61-E61-F61</f>
        <v>0</v>
      </c>
    </row>
    <row r="62" spans="1:8" ht="15" x14ac:dyDescent="0.25">
      <c r="A62" s="115" t="s">
        <v>1</v>
      </c>
      <c r="B62" s="22">
        <f t="shared" ref="B62:E62" si="5">SUM(B63:B78)</f>
        <v>25275000</v>
      </c>
      <c r="C62" s="22">
        <f t="shared" si="5"/>
        <v>0</v>
      </c>
      <c r="D62" s="22">
        <f t="shared" si="5"/>
        <v>25275000</v>
      </c>
      <c r="E62" s="29">
        <f t="shared" si="5"/>
        <v>9994767.8499999996</v>
      </c>
      <c r="F62" s="29">
        <f>SUM(F63:F78)</f>
        <v>10037153.359999999</v>
      </c>
      <c r="G62" s="29">
        <f>D62-E62-F62</f>
        <v>5243078.790000001</v>
      </c>
      <c r="H62" s="145"/>
    </row>
    <row r="63" spans="1:8" x14ac:dyDescent="0.2">
      <c r="A63" s="116" t="s">
        <v>128</v>
      </c>
      <c r="B63" s="21">
        <v>10900000</v>
      </c>
      <c r="C63" s="21"/>
      <c r="D63" s="21">
        <f>+B63+C63</f>
        <v>10900000</v>
      </c>
      <c r="E63" s="24">
        <v>2078262</v>
      </c>
      <c r="F63" s="24">
        <v>5371738</v>
      </c>
      <c r="G63" s="24">
        <f>D63-E63-F63</f>
        <v>3450000</v>
      </c>
      <c r="H63" s="144"/>
    </row>
    <row r="64" spans="1:8" x14ac:dyDescent="0.2">
      <c r="A64" s="106" t="s">
        <v>3</v>
      </c>
      <c r="B64" s="21">
        <v>300000</v>
      </c>
      <c r="C64" s="23"/>
      <c r="D64" s="21">
        <f t="shared" ref="D64:D78" si="6">+B64+C64</f>
        <v>300000</v>
      </c>
      <c r="E64" s="24">
        <v>298986</v>
      </c>
      <c r="F64" s="24"/>
      <c r="G64" s="24">
        <f>D64-E64-F64</f>
        <v>1014</v>
      </c>
      <c r="H64" s="144"/>
    </row>
    <row r="65" spans="1:9" x14ac:dyDescent="0.2">
      <c r="A65" s="106" t="s">
        <v>129</v>
      </c>
      <c r="B65" s="21">
        <v>3500000</v>
      </c>
      <c r="C65" s="23"/>
      <c r="D65" s="21">
        <f t="shared" si="6"/>
        <v>3500000</v>
      </c>
      <c r="E65" s="24">
        <v>2628750.0499999998</v>
      </c>
      <c r="F65" s="24">
        <v>777865.6</v>
      </c>
      <c r="G65" s="24">
        <f>D65-E65-F65</f>
        <v>93384.35000000021</v>
      </c>
    </row>
    <row r="66" spans="1:9" x14ac:dyDescent="0.2">
      <c r="A66" s="50" t="s">
        <v>5</v>
      </c>
      <c r="B66" s="21">
        <v>3100000</v>
      </c>
      <c r="C66" s="23"/>
      <c r="D66" s="21">
        <f t="shared" si="6"/>
        <v>3100000</v>
      </c>
      <c r="E66" s="24">
        <v>1771641</v>
      </c>
      <c r="F66" s="24">
        <v>958899</v>
      </c>
      <c r="G66" s="21">
        <f>D66-E66-F66</f>
        <v>369460</v>
      </c>
      <c r="H66" s="133"/>
    </row>
    <row r="67" spans="1:9" x14ac:dyDescent="0.2">
      <c r="A67" s="106" t="s">
        <v>130</v>
      </c>
      <c r="B67" s="21">
        <v>0</v>
      </c>
      <c r="C67" s="23"/>
      <c r="D67" s="21">
        <f t="shared" si="6"/>
        <v>0</v>
      </c>
      <c r="E67" s="24"/>
      <c r="F67" s="24"/>
      <c r="G67" s="21">
        <f>D67-E67-F67</f>
        <v>0</v>
      </c>
      <c r="H67" s="18"/>
    </row>
    <row r="68" spans="1:9" x14ac:dyDescent="0.2">
      <c r="A68" s="106" t="s">
        <v>131</v>
      </c>
      <c r="B68" s="21">
        <v>0</v>
      </c>
      <c r="C68" s="23"/>
      <c r="D68" s="21">
        <f t="shared" si="6"/>
        <v>0</v>
      </c>
      <c r="E68" s="24"/>
      <c r="F68" s="24"/>
      <c r="G68" s="21">
        <f>D68-E68-F68</f>
        <v>0</v>
      </c>
      <c r="H68" s="19"/>
    </row>
    <row r="69" spans="1:9" x14ac:dyDescent="0.2">
      <c r="A69" s="106" t="s">
        <v>6</v>
      </c>
      <c r="B69" s="21">
        <v>0</v>
      </c>
      <c r="C69" s="23"/>
      <c r="D69" s="21">
        <f t="shared" si="6"/>
        <v>0</v>
      </c>
      <c r="E69" s="24"/>
      <c r="F69" s="24"/>
      <c r="G69" s="21">
        <f>D69-E69-F69</f>
        <v>0</v>
      </c>
      <c r="H69" s="18"/>
    </row>
    <row r="70" spans="1:9" ht="25.5" x14ac:dyDescent="0.2">
      <c r="A70" s="106" t="s">
        <v>132</v>
      </c>
      <c r="B70" s="21">
        <v>0</v>
      </c>
      <c r="C70" s="23"/>
      <c r="D70" s="21">
        <f t="shared" ref="D70" si="7">+B70+C70</f>
        <v>0</v>
      </c>
      <c r="E70" s="24"/>
      <c r="F70" s="24"/>
      <c r="G70" s="21">
        <f>D70-E70-F70</f>
        <v>0</v>
      </c>
      <c r="H70" s="18"/>
    </row>
    <row r="71" spans="1:9" x14ac:dyDescent="0.2">
      <c r="A71" s="106" t="s">
        <v>76</v>
      </c>
      <c r="B71" s="21">
        <v>0</v>
      </c>
      <c r="C71" s="23"/>
      <c r="D71" s="21">
        <f t="shared" si="6"/>
        <v>0</v>
      </c>
      <c r="E71" s="24"/>
      <c r="F71" s="24"/>
      <c r="G71" s="21">
        <f>D71-E71-F71</f>
        <v>0</v>
      </c>
      <c r="H71" s="18"/>
    </row>
    <row r="72" spans="1:9" x14ac:dyDescent="0.2">
      <c r="A72" s="106" t="s">
        <v>133</v>
      </c>
      <c r="B72" s="21">
        <v>500000</v>
      </c>
      <c r="C72" s="23"/>
      <c r="D72" s="21">
        <f t="shared" si="6"/>
        <v>500000</v>
      </c>
      <c r="E72" s="24"/>
      <c r="F72" s="24">
        <v>487876</v>
      </c>
      <c r="G72" s="21">
        <f>D72-E72-F72</f>
        <v>12124</v>
      </c>
      <c r="H72" s="18"/>
    </row>
    <row r="73" spans="1:9" x14ac:dyDescent="0.2">
      <c r="A73" s="50" t="s">
        <v>7</v>
      </c>
      <c r="B73" s="21">
        <v>500000</v>
      </c>
      <c r="C73" s="23"/>
      <c r="D73" s="21">
        <f t="shared" si="6"/>
        <v>500000</v>
      </c>
      <c r="E73" s="24"/>
      <c r="F73" s="24">
        <v>459541.91</v>
      </c>
      <c r="G73" s="21">
        <f>D73-E73-F73</f>
        <v>40458.090000000026</v>
      </c>
      <c r="H73" s="18"/>
      <c r="I73" s="1"/>
    </row>
    <row r="74" spans="1:9" x14ac:dyDescent="0.2">
      <c r="A74" s="73" t="s">
        <v>134</v>
      </c>
      <c r="B74" s="21">
        <v>3000000</v>
      </c>
      <c r="C74" s="23"/>
      <c r="D74" s="21">
        <f t="shared" si="6"/>
        <v>3000000</v>
      </c>
      <c r="E74" s="24">
        <f>698358+329750</f>
        <v>1028108</v>
      </c>
      <c r="F74" s="24">
        <v>1786486.85</v>
      </c>
      <c r="G74" s="21">
        <f>D74-E74-F74</f>
        <v>185405.14999999991</v>
      </c>
      <c r="H74" s="18"/>
    </row>
    <row r="75" spans="1:9" x14ac:dyDescent="0.2">
      <c r="A75" s="73" t="s">
        <v>9</v>
      </c>
      <c r="B75" s="21">
        <v>2500000</v>
      </c>
      <c r="C75" s="23"/>
      <c r="D75" s="21">
        <f t="shared" si="6"/>
        <v>2500000</v>
      </c>
      <c r="E75" s="24">
        <f>20400+2031439.8</f>
        <v>2051839.8</v>
      </c>
      <c r="F75" s="24"/>
      <c r="G75" s="21">
        <f>D75-E75-F75</f>
        <v>448160.19999999995</v>
      </c>
      <c r="H75" s="133"/>
    </row>
    <row r="76" spans="1:9" x14ac:dyDescent="0.2">
      <c r="A76" s="106" t="s">
        <v>10</v>
      </c>
      <c r="B76" s="21">
        <v>200000</v>
      </c>
      <c r="C76" s="23"/>
      <c r="D76" s="21">
        <f t="shared" si="6"/>
        <v>200000</v>
      </c>
      <c r="E76" s="24"/>
      <c r="F76" s="24"/>
      <c r="G76" s="21">
        <f>D76-E76-F76</f>
        <v>200000</v>
      </c>
      <c r="H76" s="18"/>
    </row>
    <row r="77" spans="1:9" x14ac:dyDescent="0.2">
      <c r="A77" s="106" t="s">
        <v>11</v>
      </c>
      <c r="B77" s="21">
        <f>325000+400000</f>
        <v>725000</v>
      </c>
      <c r="C77" s="23"/>
      <c r="D77" s="21">
        <f t="shared" si="6"/>
        <v>725000</v>
      </c>
      <c r="E77" s="24">
        <v>89803</v>
      </c>
      <c r="F77" s="24">
        <v>194746</v>
      </c>
      <c r="G77" s="21">
        <f>D77-E77-F77</f>
        <v>440451</v>
      </c>
      <c r="H77" s="133"/>
    </row>
    <row r="78" spans="1:9" x14ac:dyDescent="0.2">
      <c r="A78" s="117" t="s">
        <v>12</v>
      </c>
      <c r="B78" s="21">
        <v>50000</v>
      </c>
      <c r="C78" s="23"/>
      <c r="D78" s="21">
        <f t="shared" si="6"/>
        <v>50000</v>
      </c>
      <c r="E78" s="24">
        <v>47378</v>
      </c>
      <c r="F78" s="24"/>
      <c r="G78" s="21">
        <f>D78-E78-F78</f>
        <v>2622</v>
      </c>
      <c r="H78" s="18"/>
    </row>
    <row r="79" spans="1:9" ht="15" x14ac:dyDescent="0.25">
      <c r="A79" s="115" t="s">
        <v>13</v>
      </c>
      <c r="B79" s="22">
        <f t="shared" ref="B79:F79" si="8">SUM(B80:B87)</f>
        <v>20000000</v>
      </c>
      <c r="C79" s="22">
        <f t="shared" si="8"/>
        <v>0</v>
      </c>
      <c r="D79" s="22">
        <f t="shared" si="8"/>
        <v>20000000</v>
      </c>
      <c r="E79" s="29">
        <f t="shared" si="8"/>
        <v>17765219</v>
      </c>
      <c r="F79" s="29">
        <f t="shared" si="8"/>
        <v>1887000</v>
      </c>
      <c r="G79" s="29">
        <f>D79-E79-F79</f>
        <v>347781</v>
      </c>
    </row>
    <row r="80" spans="1:9" ht="46.9" customHeight="1" x14ac:dyDescent="0.2">
      <c r="A80" s="106" t="s">
        <v>135</v>
      </c>
      <c r="B80" s="21"/>
      <c r="C80" s="23"/>
      <c r="D80" s="21">
        <f t="shared" ref="D80:D87" si="9">+B80+C80</f>
        <v>0</v>
      </c>
      <c r="E80" s="24"/>
      <c r="F80" s="24"/>
      <c r="G80" s="24">
        <f>D80-E80-F80</f>
        <v>0</v>
      </c>
    </row>
    <row r="81" spans="1:8" ht="24.75" customHeight="1" x14ac:dyDescent="0.2">
      <c r="A81" s="106" t="s">
        <v>14</v>
      </c>
      <c r="B81" s="21">
        <v>2000000</v>
      </c>
      <c r="C81" s="23"/>
      <c r="D81" s="21">
        <f t="shared" ref="D81" si="10">+B81+C81</f>
        <v>2000000</v>
      </c>
      <c r="E81" s="24"/>
      <c r="F81" s="24">
        <v>1887000</v>
      </c>
      <c r="G81" s="24">
        <f>D81-E81-F81</f>
        <v>113000</v>
      </c>
      <c r="H81" s="17"/>
    </row>
    <row r="82" spans="1:8" x14ac:dyDescent="0.2">
      <c r="A82" s="106" t="s">
        <v>136</v>
      </c>
      <c r="B82" s="21">
        <v>1000000</v>
      </c>
      <c r="C82" s="23"/>
      <c r="D82" s="21">
        <f t="shared" si="9"/>
        <v>1000000</v>
      </c>
      <c r="E82" s="24">
        <v>960000</v>
      </c>
      <c r="F82" s="24"/>
      <c r="G82" s="27">
        <f>D82-E82-F82</f>
        <v>40000</v>
      </c>
      <c r="H82" s="17"/>
    </row>
    <row r="83" spans="1:8" x14ac:dyDescent="0.2">
      <c r="A83" s="106" t="s">
        <v>137</v>
      </c>
      <c r="B83" s="21">
        <v>17000000</v>
      </c>
      <c r="C83" s="23"/>
      <c r="D83" s="21">
        <f t="shared" si="9"/>
        <v>17000000</v>
      </c>
      <c r="E83" s="24">
        <v>16805219</v>
      </c>
      <c r="F83" s="24"/>
      <c r="G83" s="24">
        <f>D83-E83-F83</f>
        <v>194781</v>
      </c>
      <c r="H83" s="17"/>
    </row>
    <row r="84" spans="1:8" ht="25.5" x14ac:dyDescent="0.2">
      <c r="A84" s="106" t="s">
        <v>17</v>
      </c>
      <c r="B84" s="21">
        <v>0</v>
      </c>
      <c r="C84" s="23"/>
      <c r="D84" s="21">
        <f t="shared" si="9"/>
        <v>0</v>
      </c>
      <c r="E84" s="24"/>
      <c r="F84" s="24"/>
      <c r="G84" s="24">
        <f>D84-E84-F84</f>
        <v>0</v>
      </c>
    </row>
    <row r="85" spans="1:8" x14ac:dyDescent="0.2">
      <c r="A85" s="106" t="s">
        <v>138</v>
      </c>
      <c r="B85" s="21"/>
      <c r="C85" s="23"/>
      <c r="D85" s="21">
        <f t="shared" si="9"/>
        <v>0</v>
      </c>
      <c r="E85" s="24"/>
      <c r="F85" s="24"/>
      <c r="G85" s="24">
        <f>D85-E85-F85</f>
        <v>0</v>
      </c>
    </row>
    <row r="86" spans="1:8" x14ac:dyDescent="0.2">
      <c r="A86" s="50" t="s">
        <v>152</v>
      </c>
      <c r="B86" s="21"/>
      <c r="C86" s="23"/>
      <c r="D86" s="21">
        <f t="shared" si="9"/>
        <v>0</v>
      </c>
      <c r="E86" s="24"/>
      <c r="F86" s="24"/>
      <c r="G86" s="24">
        <f>D86-E86-F86</f>
        <v>0</v>
      </c>
    </row>
    <row r="87" spans="1:8" x14ac:dyDescent="0.2">
      <c r="A87" s="118" t="s">
        <v>99</v>
      </c>
      <c r="B87" s="21"/>
      <c r="C87" s="23"/>
      <c r="D87" s="21">
        <f t="shared" si="9"/>
        <v>0</v>
      </c>
      <c r="E87" s="24"/>
      <c r="F87" s="24"/>
      <c r="G87" s="24">
        <f>D87-E87-F87</f>
        <v>0</v>
      </c>
      <c r="H87" s="126"/>
    </row>
    <row r="88" spans="1:8" x14ac:dyDescent="0.2">
      <c r="A88" s="119" t="s">
        <v>18</v>
      </c>
      <c r="B88" s="22">
        <f>+B89+B92+B95+B96+B97+B98+B99+B100</f>
        <v>20905869</v>
      </c>
      <c r="C88" s="22">
        <f>+C92+C97</f>
        <v>0</v>
      </c>
      <c r="D88" s="22">
        <f>+D89+D92+D95+D96+D97+D98+D99+D100</f>
        <v>20905869</v>
      </c>
      <c r="E88" s="29">
        <f>+E89+E92+E95+E96+E97+E99</f>
        <v>2911423.74</v>
      </c>
      <c r="F88" s="29">
        <f>+F89+F92+F95+F96+F97+F99</f>
        <v>9492220.2600000016</v>
      </c>
      <c r="G88" s="29">
        <f>D88-E88-F88</f>
        <v>8502224.9999999963</v>
      </c>
      <c r="H88" s="126"/>
    </row>
    <row r="89" spans="1:8" ht="25.5" x14ac:dyDescent="0.2">
      <c r="A89" s="116" t="s">
        <v>81</v>
      </c>
      <c r="B89" s="21">
        <f>B90+B91</f>
        <v>0</v>
      </c>
      <c r="C89" s="21"/>
      <c r="D89" s="21">
        <f>+B89+C89</f>
        <v>0</v>
      </c>
      <c r="E89" s="24">
        <f>E90+E91</f>
        <v>0</v>
      </c>
      <c r="F89" s="24">
        <f>F90+F91</f>
        <v>0</v>
      </c>
      <c r="G89" s="24">
        <f>D89-E89-F89</f>
        <v>0</v>
      </c>
      <c r="H89" s="126"/>
    </row>
    <row r="90" spans="1:8" ht="22.5" x14ac:dyDescent="0.2">
      <c r="A90" s="120" t="s">
        <v>102</v>
      </c>
      <c r="B90" s="121">
        <v>0</v>
      </c>
      <c r="C90" s="122"/>
      <c r="D90" s="121">
        <f>+B90+C90</f>
        <v>0</v>
      </c>
      <c r="E90" s="32"/>
      <c r="F90" s="32"/>
      <c r="G90" s="31">
        <f>D90-E90-F90</f>
        <v>0</v>
      </c>
      <c r="H90" s="126"/>
    </row>
    <row r="91" spans="1:8" ht="22.5" x14ac:dyDescent="0.2">
      <c r="A91" s="120" t="s">
        <v>139</v>
      </c>
      <c r="B91" s="121">
        <v>0</v>
      </c>
      <c r="C91" s="122"/>
      <c r="D91" s="121">
        <f>+B91+C91</f>
        <v>0</v>
      </c>
      <c r="E91" s="24"/>
      <c r="F91" s="32"/>
      <c r="G91" s="31">
        <f>D91-E91-F91</f>
        <v>0</v>
      </c>
      <c r="H91" s="126"/>
    </row>
    <row r="92" spans="1:8" ht="25.5" x14ac:dyDescent="0.2">
      <c r="A92" s="28" t="s">
        <v>19</v>
      </c>
      <c r="B92" s="30">
        <f>+B93+B94</f>
        <v>5905869</v>
      </c>
      <c r="C92" s="30"/>
      <c r="D92" s="30">
        <f>+D93+D94</f>
        <v>5905869</v>
      </c>
      <c r="E92" s="30">
        <f>+E93+E94</f>
        <v>1419003.48</v>
      </c>
      <c r="F92" s="30">
        <f>+F93+F94</f>
        <v>4486865.5200000005</v>
      </c>
      <c r="G92" s="24">
        <f>D92-E92-F92</f>
        <v>0</v>
      </c>
    </row>
    <row r="93" spans="1:8" ht="22.5" x14ac:dyDescent="0.2">
      <c r="A93" s="33" t="s">
        <v>103</v>
      </c>
      <c r="B93" s="34">
        <v>4126993</v>
      </c>
      <c r="C93" s="34"/>
      <c r="D93" s="35">
        <f t="shared" ref="D93:D99" si="11">+B93+C93</f>
        <v>4126993</v>
      </c>
      <c r="E93" s="35">
        <v>711377.07</v>
      </c>
      <c r="F93" s="35">
        <v>3415615.93</v>
      </c>
      <c r="G93" s="31">
        <f>D93-E93-F93</f>
        <v>0</v>
      </c>
    </row>
    <row r="94" spans="1:8" ht="22.5" x14ac:dyDescent="0.2">
      <c r="A94" s="33" t="s">
        <v>104</v>
      </c>
      <c r="B94" s="34">
        <v>1778876</v>
      </c>
      <c r="C94" s="34"/>
      <c r="D94" s="35">
        <f t="shared" si="11"/>
        <v>1778876</v>
      </c>
      <c r="E94" s="35">
        <v>707626.41</v>
      </c>
      <c r="F94" s="35">
        <v>1071249.5900000001</v>
      </c>
      <c r="G94" s="31">
        <f>D94-E94-F94</f>
        <v>0</v>
      </c>
    </row>
    <row r="95" spans="1:8" x14ac:dyDescent="0.2">
      <c r="A95" s="36" t="s">
        <v>20</v>
      </c>
      <c r="B95" s="30">
        <v>10000000</v>
      </c>
      <c r="C95" s="30"/>
      <c r="D95" s="30">
        <f t="shared" si="11"/>
        <v>10000000</v>
      </c>
      <c r="E95" s="30">
        <v>1492420.26</v>
      </c>
      <c r="F95" s="30">
        <v>3507579.74</v>
      </c>
      <c r="G95" s="24">
        <f>D95-E95-F95</f>
        <v>5000000</v>
      </c>
    </row>
    <row r="96" spans="1:8" ht="38.25" x14ac:dyDescent="0.2">
      <c r="A96" s="36" t="s">
        <v>105</v>
      </c>
      <c r="B96" s="30">
        <v>3000000</v>
      </c>
      <c r="C96" s="30"/>
      <c r="D96" s="30">
        <f t="shared" si="11"/>
        <v>3000000</v>
      </c>
      <c r="E96" s="30">
        <v>0</v>
      </c>
      <c r="F96" s="30">
        <v>1497775</v>
      </c>
      <c r="G96" s="24">
        <f>D96-E96-F96</f>
        <v>1502225</v>
      </c>
    </row>
    <row r="97" spans="1:8" ht="25.5" x14ac:dyDescent="0.2">
      <c r="A97" s="37" t="s">
        <v>100</v>
      </c>
      <c r="B97" s="30">
        <v>0</v>
      </c>
      <c r="C97" s="30"/>
      <c r="D97" s="30">
        <f t="shared" si="11"/>
        <v>0</v>
      </c>
      <c r="E97" s="30"/>
      <c r="F97" s="30"/>
      <c r="G97" s="24">
        <f>D97-E97-F97</f>
        <v>0</v>
      </c>
    </row>
    <row r="98" spans="1:8" ht="38.25" x14ac:dyDescent="0.2">
      <c r="A98" s="36" t="s">
        <v>106</v>
      </c>
      <c r="B98" s="30">
        <v>1000000</v>
      </c>
      <c r="C98" s="30"/>
      <c r="D98" s="30">
        <f t="shared" si="11"/>
        <v>1000000</v>
      </c>
      <c r="E98" s="30"/>
      <c r="F98" s="30"/>
      <c r="G98" s="24">
        <f>D98-E98-F98</f>
        <v>1000000</v>
      </c>
      <c r="H98" s="17"/>
    </row>
    <row r="99" spans="1:8" ht="25.5" x14ac:dyDescent="0.2">
      <c r="A99" s="36" t="s">
        <v>107</v>
      </c>
      <c r="B99" s="30">
        <v>1000000</v>
      </c>
      <c r="C99" s="30"/>
      <c r="D99" s="30">
        <f t="shared" si="11"/>
        <v>1000000</v>
      </c>
      <c r="E99" s="30"/>
      <c r="F99" s="30"/>
      <c r="G99" s="24">
        <f>D99-E99-F99</f>
        <v>1000000</v>
      </c>
      <c r="H99" s="17"/>
    </row>
    <row r="100" spans="1:8" ht="25.5" x14ac:dyDescent="0.2">
      <c r="A100" s="36" t="s">
        <v>21</v>
      </c>
      <c r="B100" s="30">
        <v>0</v>
      </c>
      <c r="C100" s="30"/>
      <c r="D100" s="30"/>
      <c r="E100" s="30"/>
      <c r="F100" s="30"/>
      <c r="G100" s="24">
        <f>D100-E100-F100</f>
        <v>0</v>
      </c>
    </row>
    <row r="101" spans="1:8" x14ac:dyDescent="0.2">
      <c r="A101" s="38" t="s">
        <v>71</v>
      </c>
      <c r="B101" s="30">
        <v>0</v>
      </c>
      <c r="C101" s="30"/>
      <c r="D101" s="30">
        <v>0</v>
      </c>
      <c r="E101" s="30"/>
      <c r="F101" s="30"/>
      <c r="G101" s="24">
        <f>D101-E101-F101</f>
        <v>0</v>
      </c>
    </row>
    <row r="102" spans="1:8" x14ac:dyDescent="0.2">
      <c r="A102" s="39" t="s">
        <v>72</v>
      </c>
      <c r="B102" s="30">
        <v>0</v>
      </c>
      <c r="C102" s="30"/>
      <c r="D102" s="30">
        <v>0</v>
      </c>
      <c r="E102" s="30"/>
      <c r="F102" s="30"/>
      <c r="G102" s="24">
        <f>D102-E102-F102</f>
        <v>0</v>
      </c>
    </row>
    <row r="103" spans="1:8" x14ac:dyDescent="0.2">
      <c r="A103" s="39" t="s">
        <v>73</v>
      </c>
      <c r="B103" s="30">
        <v>0</v>
      </c>
      <c r="C103" s="30"/>
      <c r="D103" s="30">
        <v>0</v>
      </c>
      <c r="E103" s="30"/>
      <c r="F103" s="30"/>
      <c r="G103" s="24">
        <f>D103-E103-F103</f>
        <v>0</v>
      </c>
    </row>
    <row r="104" spans="1:8" x14ac:dyDescent="0.2">
      <c r="A104" s="39" t="s">
        <v>78</v>
      </c>
      <c r="B104" s="30">
        <v>0</v>
      </c>
      <c r="C104" s="30"/>
      <c r="D104" s="30">
        <v>0</v>
      </c>
      <c r="E104" s="30"/>
      <c r="F104" s="30"/>
      <c r="G104" s="24">
        <f>D104-E104-F104</f>
        <v>0</v>
      </c>
    </row>
    <row r="105" spans="1:8" x14ac:dyDescent="0.2">
      <c r="A105" s="2" t="s">
        <v>84</v>
      </c>
      <c r="B105" s="9">
        <v>0</v>
      </c>
      <c r="C105" s="23"/>
      <c r="D105" s="9">
        <v>0</v>
      </c>
      <c r="E105" s="9"/>
      <c r="F105" s="9"/>
      <c r="G105" s="8">
        <f>D105-E105-F105</f>
        <v>0</v>
      </c>
    </row>
    <row r="106" spans="1:8" ht="25.5" x14ac:dyDescent="0.2">
      <c r="A106" s="111" t="s">
        <v>156</v>
      </c>
      <c r="B106" s="29">
        <v>57645000000</v>
      </c>
      <c r="C106" s="29">
        <v>0</v>
      </c>
      <c r="D106" s="29">
        <f>+B106+C106</f>
        <v>57645000000</v>
      </c>
      <c r="E106" s="29">
        <f>+E107</f>
        <v>0</v>
      </c>
      <c r="F106" s="29">
        <f>+F107</f>
        <v>0</v>
      </c>
      <c r="G106" s="29">
        <f>+G107</f>
        <v>57645000000</v>
      </c>
    </row>
    <row r="107" spans="1:8" ht="60" x14ac:dyDescent="0.2">
      <c r="A107" s="146" t="s">
        <v>157</v>
      </c>
      <c r="B107" s="147">
        <v>57645000000</v>
      </c>
      <c r="C107" s="109"/>
      <c r="D107" s="110">
        <f>B107+C107</f>
        <v>57645000000</v>
      </c>
      <c r="E107" s="109"/>
      <c r="F107" s="109"/>
      <c r="G107" s="110">
        <f>D107-E107-F107</f>
        <v>57645000000</v>
      </c>
    </row>
    <row r="108" spans="1:8" x14ac:dyDescent="0.2">
      <c r="A108" s="96" t="s">
        <v>65</v>
      </c>
      <c r="B108" s="97">
        <f>+B88+B79+B62+B21+B6+B106</f>
        <v>59759000000</v>
      </c>
      <c r="C108" s="97">
        <f t="shared" ref="C108:G108" si="12">+C88+C79+C62+C21+C6+C106</f>
        <v>0</v>
      </c>
      <c r="D108" s="97">
        <f t="shared" si="12"/>
        <v>59759000000</v>
      </c>
      <c r="E108" s="97">
        <f t="shared" si="12"/>
        <v>226057646.94</v>
      </c>
      <c r="F108" s="97">
        <f t="shared" si="12"/>
        <v>1031816747.88</v>
      </c>
      <c r="G108" s="97">
        <f t="shared" si="12"/>
        <v>58501125605.18</v>
      </c>
    </row>
    <row r="109" spans="1:8" x14ac:dyDescent="0.2">
      <c r="A109" s="13"/>
      <c r="B109" s="14">
        <f>+B108/D108</f>
        <v>1</v>
      </c>
      <c r="C109" s="15">
        <f>+C108/D108</f>
        <v>0</v>
      </c>
      <c r="D109" s="16">
        <f>+B109+C109</f>
        <v>1</v>
      </c>
      <c r="E109" s="142">
        <f>+E108/D108</f>
        <v>3.7828217831623687E-3</v>
      </c>
      <c r="F109" s="142">
        <f>F108/D108</f>
        <v>1.7266298764704899E-2</v>
      </c>
      <c r="G109" s="142">
        <f>+G108/D108</f>
        <v>0.97895087945213277</v>
      </c>
    </row>
    <row r="110" spans="1:8" x14ac:dyDescent="0.2">
      <c r="C110" s="1"/>
      <c r="D110" s="1"/>
      <c r="F110" s="1"/>
    </row>
    <row r="111" spans="1:8" x14ac:dyDescent="0.2">
      <c r="B111" s="19">
        <v>59759000000</v>
      </c>
      <c r="C111" s="19"/>
      <c r="D111" s="105"/>
      <c r="E111" s="89"/>
      <c r="F111" s="1"/>
      <c r="G111" s="1"/>
    </row>
    <row r="112" spans="1:8" x14ac:dyDescent="0.2">
      <c r="B112" s="1">
        <f>+B111-B108</f>
        <v>0</v>
      </c>
    </row>
    <row r="113" spans="1:4" ht="25.5" x14ac:dyDescent="0.2">
      <c r="A113" s="149" t="s">
        <v>158</v>
      </c>
      <c r="B113" s="130" t="s">
        <v>168</v>
      </c>
      <c r="C113" t="s">
        <v>171</v>
      </c>
      <c r="D113" s="1"/>
    </row>
    <row r="114" spans="1:4" x14ac:dyDescent="0.2">
      <c r="A114" s="150" t="s">
        <v>161</v>
      </c>
      <c r="B114" s="1">
        <f>+D6</f>
        <v>968365536</v>
      </c>
      <c r="C114" s="101">
        <f>+B114/B119</f>
        <v>0.45807262819299904</v>
      </c>
      <c r="D114" s="1"/>
    </row>
    <row r="115" spans="1:4" x14ac:dyDescent="0.2">
      <c r="A115" s="150" t="s">
        <v>162</v>
      </c>
      <c r="B115" s="1">
        <f>+D21</f>
        <v>1079453595</v>
      </c>
      <c r="C115" s="101">
        <f>+B115/B119</f>
        <v>0.51062137890255443</v>
      </c>
    </row>
    <row r="116" spans="1:4" x14ac:dyDescent="0.2">
      <c r="A116" s="150" t="s">
        <v>163</v>
      </c>
      <c r="B116" s="1">
        <f>+D62</f>
        <v>25275000</v>
      </c>
      <c r="C116" s="101">
        <f>+B116/B119</f>
        <v>1.195600756859035E-2</v>
      </c>
    </row>
    <row r="117" spans="1:4" x14ac:dyDescent="0.2">
      <c r="A117" s="150" t="s">
        <v>164</v>
      </c>
      <c r="B117" s="1">
        <f>+D79</f>
        <v>20000000</v>
      </c>
      <c r="C117" s="101">
        <f>+B117/B119</f>
        <v>9.4607379375591296E-3</v>
      </c>
    </row>
    <row r="118" spans="1:4" x14ac:dyDescent="0.2">
      <c r="A118" s="151" t="s">
        <v>165</v>
      </c>
      <c r="B118" s="1">
        <f>+D88</f>
        <v>20905869</v>
      </c>
      <c r="C118" s="101">
        <f>+B118/B119</f>
        <v>9.8892473982970675E-3</v>
      </c>
    </row>
    <row r="119" spans="1:4" x14ac:dyDescent="0.2">
      <c r="A119" s="125" t="s">
        <v>169</v>
      </c>
      <c r="B119" s="1">
        <f>SUM(B114:B118)</f>
        <v>2114000000</v>
      </c>
    </row>
    <row r="120" spans="1:4" x14ac:dyDescent="0.2">
      <c r="A120" s="124"/>
    </row>
    <row r="121" spans="1:4" x14ac:dyDescent="0.2">
      <c r="A121" s="124"/>
    </row>
    <row r="122" spans="1:4" ht="25.5" x14ac:dyDescent="0.2">
      <c r="A122" s="149" t="s">
        <v>160</v>
      </c>
      <c r="B122" s="130" t="s">
        <v>167</v>
      </c>
    </row>
    <row r="123" spans="1:4" x14ac:dyDescent="0.2">
      <c r="A123" s="150" t="s">
        <v>173</v>
      </c>
      <c r="B123" s="1">
        <f>+F6</f>
        <v>555694511.63999999</v>
      </c>
      <c r="C123" s="101">
        <f>+B123/B119</f>
        <v>0.26286400739829707</v>
      </c>
    </row>
    <row r="124" spans="1:4" x14ac:dyDescent="0.2">
      <c r="A124" s="150" t="s">
        <v>174</v>
      </c>
      <c r="B124" s="1">
        <f>+F21</f>
        <v>454705862.62</v>
      </c>
      <c r="C124" s="101">
        <f>+B124/B119</f>
        <v>0.21509265024597918</v>
      </c>
    </row>
    <row r="125" spans="1:4" x14ac:dyDescent="0.2">
      <c r="A125" s="150" t="s">
        <v>175</v>
      </c>
      <c r="B125" s="1">
        <f>+F62</f>
        <v>10037153.359999999</v>
      </c>
      <c r="C125" s="101">
        <f>+B125/B119</f>
        <v>4.7479438789025542E-3</v>
      </c>
    </row>
    <row r="126" spans="1:4" x14ac:dyDescent="0.2">
      <c r="A126" s="150" t="s">
        <v>176</v>
      </c>
      <c r="B126" s="1">
        <f>+F79</f>
        <v>1887000</v>
      </c>
      <c r="C126" s="101">
        <f>+B126/B119</f>
        <v>8.9262062440870389E-4</v>
      </c>
    </row>
    <row r="127" spans="1:4" x14ac:dyDescent="0.2">
      <c r="A127" s="151" t="s">
        <v>177</v>
      </c>
      <c r="B127" s="1">
        <f>+F88</f>
        <v>9492220.2600000016</v>
      </c>
      <c r="C127" s="101">
        <f>+B127/B119</f>
        <v>4.4901704162724704E-3</v>
      </c>
    </row>
    <row r="128" spans="1:4" x14ac:dyDescent="0.2">
      <c r="A128" s="152" t="s">
        <v>169</v>
      </c>
      <c r="B128" s="1">
        <f>SUM(B123:B127)</f>
        <v>1031816747.88</v>
      </c>
    </row>
    <row r="129" spans="1:4" x14ac:dyDescent="0.2">
      <c r="B129">
        <f>+B128/B119</f>
        <v>0.48808739256385997</v>
      </c>
    </row>
    <row r="131" spans="1:4" x14ac:dyDescent="0.2">
      <c r="A131" s="149" t="s">
        <v>166</v>
      </c>
      <c r="B131" s="127" t="s">
        <v>170</v>
      </c>
    </row>
    <row r="132" spans="1:4" x14ac:dyDescent="0.2">
      <c r="A132" s="150" t="s">
        <v>173</v>
      </c>
      <c r="B132" s="1">
        <f>+E6</f>
        <v>58881442.549999997</v>
      </c>
      <c r="C132" s="101">
        <f>+B132/B119</f>
        <v>2.7853094867549666E-2</v>
      </c>
    </row>
    <row r="133" spans="1:4" x14ac:dyDescent="0.2">
      <c r="A133" s="150" t="s">
        <v>174</v>
      </c>
      <c r="B133" s="1">
        <f>+E21</f>
        <v>136504793.79999998</v>
      </c>
      <c r="C133" s="101">
        <f>+B133/B119</f>
        <v>6.45718040681173E-2</v>
      </c>
    </row>
    <row r="134" spans="1:4" x14ac:dyDescent="0.2">
      <c r="A134" s="150" t="s">
        <v>178</v>
      </c>
      <c r="B134" s="1">
        <f>+E62</f>
        <v>9994767.8499999996</v>
      </c>
      <c r="C134" s="101">
        <f>+B134/B119</f>
        <v>4.7278939687795648E-3</v>
      </c>
    </row>
    <row r="135" spans="1:4" x14ac:dyDescent="0.2">
      <c r="A135" s="150" t="s">
        <v>176</v>
      </c>
      <c r="B135" s="1">
        <f>+E79</f>
        <v>17765219</v>
      </c>
      <c r="C135" s="101">
        <f>+B135/B119</f>
        <v>8.4036040681173124E-3</v>
      </c>
    </row>
    <row r="136" spans="1:4" x14ac:dyDescent="0.2">
      <c r="A136" s="151" t="s">
        <v>179</v>
      </c>
      <c r="B136" s="1">
        <f>+E88</f>
        <v>2911423.74</v>
      </c>
      <c r="C136" s="101">
        <f>+B136/B119</f>
        <v>1.3772108514664145E-3</v>
      </c>
    </row>
    <row r="137" spans="1:4" x14ac:dyDescent="0.2">
      <c r="A137" s="128" t="s">
        <v>169</v>
      </c>
      <c r="B137" s="1">
        <f>SUM(B132:B136)</f>
        <v>226057646.93999997</v>
      </c>
    </row>
    <row r="141" spans="1:4" x14ac:dyDescent="0.2">
      <c r="D141" s="1"/>
    </row>
    <row r="142" spans="1:4" x14ac:dyDescent="0.2">
      <c r="A142" t="s">
        <v>172</v>
      </c>
      <c r="B142" s="1">
        <f>+B38+B39+B40+10000000+10000000+4000000+13500000</f>
        <v>278448000</v>
      </c>
    </row>
  </sheetData>
  <mergeCells count="2">
    <mergeCell ref="A2:G2"/>
    <mergeCell ref="A1:G1"/>
  </mergeCells>
  <phoneticPr fontId="8" type="noConversion"/>
  <printOptions horizontalCentered="1" verticalCentered="1"/>
  <pageMargins left="0.15748031496062992" right="0.15748031496062992" top="0.19685039370078741" bottom="0.19685039370078741" header="0.51181102362204722" footer="0.51181102362204722"/>
  <pageSetup scale="58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14"/>
  <sheetViews>
    <sheetView workbookViewId="0">
      <pane xSplit="1" ySplit="5" topLeftCell="B28" activePane="bottomRight" state="frozen"/>
      <selection pane="topRight" activeCell="B1" sqref="B1"/>
      <selection pane="bottomLeft" activeCell="A5" sqref="A5"/>
      <selection pane="bottomRight" activeCell="M80" sqref="M80"/>
    </sheetView>
  </sheetViews>
  <sheetFormatPr baseColWidth="10" defaultColWidth="8.85546875" defaultRowHeight="12.75" x14ac:dyDescent="0.2"/>
  <cols>
    <col min="1" max="1" width="45.140625" customWidth="1"/>
    <col min="2" max="2" width="17.7109375" customWidth="1"/>
    <col min="3" max="3" width="17" customWidth="1"/>
    <col min="4" max="4" width="16.7109375" customWidth="1"/>
    <col min="5" max="5" width="17.140625" customWidth="1"/>
    <col min="6" max="6" width="17.5703125" customWidth="1"/>
    <col min="7" max="7" width="18.42578125" customWidth="1"/>
  </cols>
  <sheetData>
    <row r="1" spans="1:7" x14ac:dyDescent="0.2">
      <c r="A1" s="166" t="s">
        <v>67</v>
      </c>
      <c r="B1" s="166"/>
      <c r="C1" s="166"/>
      <c r="D1" s="166"/>
      <c r="E1" s="166"/>
      <c r="F1" s="166"/>
      <c r="G1" s="166"/>
    </row>
    <row r="2" spans="1:7" x14ac:dyDescent="0.2">
      <c r="A2" s="165" t="s">
        <v>63</v>
      </c>
      <c r="B2" s="164"/>
      <c r="C2" s="164"/>
      <c r="D2" s="164"/>
      <c r="E2" s="164"/>
      <c r="F2" s="164"/>
      <c r="G2" s="139"/>
    </row>
    <row r="3" spans="1:7" ht="30" customHeight="1" x14ac:dyDescent="0.2">
      <c r="A3" s="140" t="s">
        <v>25</v>
      </c>
      <c r="B3" s="92" t="s">
        <v>87</v>
      </c>
      <c r="C3" s="92" t="s">
        <v>88</v>
      </c>
      <c r="D3" s="92" t="s">
        <v>85</v>
      </c>
      <c r="E3" s="92" t="s">
        <v>87</v>
      </c>
      <c r="F3" s="92" t="s">
        <v>91</v>
      </c>
      <c r="G3" s="92" t="s">
        <v>87</v>
      </c>
    </row>
    <row r="4" spans="1:7" ht="11.25" customHeight="1" x14ac:dyDescent="0.2">
      <c r="A4" s="140"/>
      <c r="B4" s="93" t="s">
        <v>89</v>
      </c>
      <c r="C4" s="93" t="s">
        <v>153</v>
      </c>
      <c r="D4" s="93" t="s">
        <v>87</v>
      </c>
      <c r="E4" s="93" t="s">
        <v>90</v>
      </c>
      <c r="F4" s="93" t="s">
        <v>92</v>
      </c>
      <c r="G4" s="93" t="s">
        <v>93</v>
      </c>
    </row>
    <row r="5" spans="1:7" ht="37.5" customHeight="1" x14ac:dyDescent="0.2">
      <c r="A5" s="141"/>
      <c r="B5" s="95" t="s">
        <v>151</v>
      </c>
      <c r="C5" s="95" t="s">
        <v>82</v>
      </c>
      <c r="D5" s="95" t="s">
        <v>180</v>
      </c>
      <c r="E5" s="95" t="s">
        <v>180</v>
      </c>
      <c r="F5" s="95" t="s">
        <v>180</v>
      </c>
      <c r="G5" s="95" t="s">
        <v>180</v>
      </c>
    </row>
    <row r="6" spans="1:7" ht="15" x14ac:dyDescent="0.25">
      <c r="A6" s="68" t="s">
        <v>26</v>
      </c>
      <c r="B6" s="22">
        <f t="shared" ref="B6:F6" si="0">SUM(B7:B20)</f>
        <v>1721843096</v>
      </c>
      <c r="C6" s="69">
        <f t="shared" si="0"/>
        <v>0</v>
      </c>
      <c r="D6" s="156">
        <f t="shared" si="0"/>
        <v>1721843096</v>
      </c>
      <c r="E6" s="156">
        <f t="shared" si="0"/>
        <v>90750535</v>
      </c>
      <c r="F6" s="156">
        <f t="shared" si="0"/>
        <v>1015285906.5300001</v>
      </c>
      <c r="G6" s="156">
        <f>D6-E6-F6</f>
        <v>615806654.46999991</v>
      </c>
    </row>
    <row r="7" spans="1:7" x14ac:dyDescent="0.2">
      <c r="A7" s="153" t="s">
        <v>27</v>
      </c>
      <c r="B7" s="21">
        <v>1292851874</v>
      </c>
      <c r="C7" s="85"/>
      <c r="D7" s="123">
        <f>+B7+C7</f>
        <v>1292851874</v>
      </c>
      <c r="E7" s="123"/>
      <c r="F7" s="123">
        <v>801386527.19000006</v>
      </c>
      <c r="G7" s="123">
        <f>D7-E7-F7</f>
        <v>491465346.80999994</v>
      </c>
    </row>
    <row r="8" spans="1:7" x14ac:dyDescent="0.2">
      <c r="A8" s="44" t="s">
        <v>68</v>
      </c>
      <c r="B8" s="23">
        <v>0</v>
      </c>
      <c r="C8" s="48"/>
      <c r="D8" s="11">
        <f t="shared" ref="D8:D20" si="1">+B8+C8</f>
        <v>0</v>
      </c>
      <c r="E8" s="11"/>
      <c r="F8" s="11"/>
      <c r="G8" s="11">
        <f>D8-E8-F8</f>
        <v>0</v>
      </c>
    </row>
    <row r="9" spans="1:7" x14ac:dyDescent="0.2">
      <c r="A9" s="55" t="s">
        <v>28</v>
      </c>
      <c r="B9" s="23">
        <v>0</v>
      </c>
      <c r="C9" s="48"/>
      <c r="D9" s="11">
        <f t="shared" si="1"/>
        <v>0</v>
      </c>
      <c r="E9" s="11"/>
      <c r="F9" s="11"/>
      <c r="G9" s="11">
        <f>D9-E9-F9</f>
        <v>0</v>
      </c>
    </row>
    <row r="10" spans="1:7" x14ac:dyDescent="0.2">
      <c r="A10" s="55" t="s">
        <v>29</v>
      </c>
      <c r="B10" s="23">
        <v>3458701</v>
      </c>
      <c r="C10" s="48"/>
      <c r="D10" s="11">
        <f t="shared" si="1"/>
        <v>3458701</v>
      </c>
      <c r="E10" s="11"/>
      <c r="F10" s="11">
        <v>1881174</v>
      </c>
      <c r="G10" s="11">
        <f>D10-E10-F10</f>
        <v>1577527</v>
      </c>
    </row>
    <row r="11" spans="1:7" x14ac:dyDescent="0.2">
      <c r="A11" s="55" t="s">
        <v>30</v>
      </c>
      <c r="B11" s="23">
        <v>3443085</v>
      </c>
      <c r="C11" s="48"/>
      <c r="D11" s="11">
        <f t="shared" si="1"/>
        <v>3443085</v>
      </c>
      <c r="E11" s="11"/>
      <c r="F11" s="11">
        <v>2269245</v>
      </c>
      <c r="G11" s="11">
        <f>D11-E11-F11</f>
        <v>1173840</v>
      </c>
    </row>
    <row r="12" spans="1:7" x14ac:dyDescent="0.2">
      <c r="A12" s="55" t="s">
        <v>31</v>
      </c>
      <c r="B12" s="23">
        <v>112352757</v>
      </c>
      <c r="C12" s="48"/>
      <c r="D12" s="11">
        <f t="shared" si="1"/>
        <v>112352757</v>
      </c>
      <c r="E12" s="11"/>
      <c r="F12" s="11"/>
      <c r="G12" s="11">
        <f>D12-E12-F12</f>
        <v>112352757</v>
      </c>
    </row>
    <row r="13" spans="1:7" x14ac:dyDescent="0.2">
      <c r="A13" s="55" t="s">
        <v>32</v>
      </c>
      <c r="B13" s="23">
        <v>48436596</v>
      </c>
      <c r="C13" s="48"/>
      <c r="D13" s="11">
        <f t="shared" si="1"/>
        <v>48436596</v>
      </c>
      <c r="E13" s="11"/>
      <c r="F13" s="11">
        <v>44466465.340000004</v>
      </c>
      <c r="G13" s="11">
        <f>D13-E13-F13</f>
        <v>3970130.6599999964</v>
      </c>
    </row>
    <row r="14" spans="1:7" x14ac:dyDescent="0.2">
      <c r="A14" s="55" t="s">
        <v>33</v>
      </c>
      <c r="B14" s="23">
        <v>582340</v>
      </c>
      <c r="C14" s="48"/>
      <c r="D14" s="11">
        <f t="shared" si="1"/>
        <v>582340</v>
      </c>
      <c r="E14" s="11"/>
      <c r="F14" s="11">
        <v>290944</v>
      </c>
      <c r="G14" s="11">
        <f>D14-E14-F14</f>
        <v>291396</v>
      </c>
    </row>
    <row r="15" spans="1:7" x14ac:dyDescent="0.2">
      <c r="A15" s="55" t="s">
        <v>34</v>
      </c>
      <c r="B15" s="23">
        <v>124761465</v>
      </c>
      <c r="C15" s="48"/>
      <c r="D15" s="11">
        <f t="shared" si="1"/>
        <v>124761465</v>
      </c>
      <c r="E15" s="11">
        <v>43419640</v>
      </c>
      <c r="F15" s="11">
        <v>78960820</v>
      </c>
      <c r="G15" s="11">
        <f>D15-E15-F15</f>
        <v>2381005</v>
      </c>
    </row>
    <row r="16" spans="1:7" x14ac:dyDescent="0.2">
      <c r="A16" s="55" t="s">
        <v>35</v>
      </c>
      <c r="B16" s="23">
        <v>6743863</v>
      </c>
      <c r="C16" s="48"/>
      <c r="D16" s="11">
        <f t="shared" si="1"/>
        <v>6743863</v>
      </c>
      <c r="E16" s="11">
        <v>2348587</v>
      </c>
      <c r="F16" s="11">
        <v>4266573</v>
      </c>
      <c r="G16" s="11">
        <f>D16-E16-F16</f>
        <v>128703</v>
      </c>
    </row>
    <row r="17" spans="1:7" x14ac:dyDescent="0.2">
      <c r="A17" s="55" t="s">
        <v>36</v>
      </c>
      <c r="B17" s="23">
        <v>68517648</v>
      </c>
      <c r="C17" s="48"/>
      <c r="D17" s="11">
        <f t="shared" si="1"/>
        <v>68517648</v>
      </c>
      <c r="E17" s="11">
        <v>23845599</v>
      </c>
      <c r="F17" s="11">
        <v>43364427</v>
      </c>
      <c r="G17" s="11">
        <f>D17-E17-F17</f>
        <v>1307622</v>
      </c>
    </row>
    <row r="18" spans="1:7" x14ac:dyDescent="0.2">
      <c r="A18" s="56" t="s">
        <v>37</v>
      </c>
      <c r="B18" s="23">
        <v>20231589</v>
      </c>
      <c r="C18" s="48"/>
      <c r="D18" s="11">
        <f t="shared" si="1"/>
        <v>20231589</v>
      </c>
      <c r="E18" s="11">
        <v>7045531</v>
      </c>
      <c r="F18" s="102">
        <v>12799949</v>
      </c>
      <c r="G18" s="11">
        <f>D18-E18-F18</f>
        <v>386109</v>
      </c>
    </row>
    <row r="19" spans="1:7" x14ac:dyDescent="0.2">
      <c r="A19" s="55" t="s">
        <v>38</v>
      </c>
      <c r="B19" s="23">
        <v>40463178</v>
      </c>
      <c r="C19" s="48"/>
      <c r="D19" s="11">
        <f t="shared" si="1"/>
        <v>40463178</v>
      </c>
      <c r="E19" s="11">
        <v>14091178</v>
      </c>
      <c r="F19" s="11">
        <v>25599782</v>
      </c>
      <c r="G19" s="11">
        <f>D19-E19-F19</f>
        <v>772218</v>
      </c>
    </row>
    <row r="20" spans="1:7" x14ac:dyDescent="0.2">
      <c r="A20" s="57" t="s">
        <v>22</v>
      </c>
      <c r="B20" s="23">
        <v>0</v>
      </c>
      <c r="C20" s="48"/>
      <c r="D20" s="11">
        <f t="shared" si="1"/>
        <v>0</v>
      </c>
      <c r="E20" s="11"/>
      <c r="F20" s="11"/>
      <c r="G20" s="11">
        <f>D20-E20-F20</f>
        <v>0</v>
      </c>
    </row>
    <row r="21" spans="1:7" ht="15" x14ac:dyDescent="0.25">
      <c r="A21" s="68" t="s">
        <v>39</v>
      </c>
      <c r="B21" s="22">
        <f t="shared" ref="B21:F21" si="2">SUM(B22:B59)</f>
        <v>1638040261</v>
      </c>
      <c r="C21" s="69">
        <f t="shared" si="2"/>
        <v>155346830</v>
      </c>
      <c r="D21" s="156">
        <f t="shared" si="2"/>
        <v>1793387091</v>
      </c>
      <c r="E21" s="156">
        <f t="shared" si="2"/>
        <v>460525486.63999999</v>
      </c>
      <c r="F21" s="156">
        <f t="shared" si="2"/>
        <v>340210463.05000001</v>
      </c>
      <c r="G21" s="156">
        <f>D21-E21-F21</f>
        <v>992651141.31000018</v>
      </c>
    </row>
    <row r="22" spans="1:7" x14ac:dyDescent="0.2">
      <c r="A22" s="153" t="s">
        <v>40</v>
      </c>
      <c r="B22" s="45">
        <v>0</v>
      </c>
      <c r="C22" s="154"/>
      <c r="D22" s="155"/>
      <c r="E22" s="86"/>
      <c r="F22" s="86"/>
      <c r="G22" s="86">
        <f>D22-E22-F22</f>
        <v>0</v>
      </c>
    </row>
    <row r="23" spans="1:7" ht="18.75" customHeight="1" x14ac:dyDescent="0.2">
      <c r="A23" s="62" t="s">
        <v>119</v>
      </c>
      <c r="B23" s="58">
        <v>1700000</v>
      </c>
      <c r="C23" s="59"/>
      <c r="D23" s="59">
        <f t="shared" ref="D23:D59" si="3">+B23+C23</f>
        <v>1700000</v>
      </c>
      <c r="E23" s="41">
        <v>724554.64</v>
      </c>
      <c r="F23" s="41">
        <v>765381.12</v>
      </c>
      <c r="G23" s="48">
        <f>D23-E23-F23</f>
        <v>210064.24</v>
      </c>
    </row>
    <row r="24" spans="1:7" s="18" customFormat="1" ht="18.75" customHeight="1" x14ac:dyDescent="0.2">
      <c r="A24" s="44" t="s">
        <v>86</v>
      </c>
      <c r="B24" s="45">
        <v>90000000</v>
      </c>
      <c r="C24" s="45"/>
      <c r="D24" s="45">
        <f t="shared" si="3"/>
        <v>90000000</v>
      </c>
      <c r="E24" s="45">
        <f>38866730.03+125374.01</f>
        <v>38992104.039999999</v>
      </c>
      <c r="F24" s="47">
        <v>26796027.66</v>
      </c>
      <c r="G24" s="48">
        <f>D24-E24-F24</f>
        <v>24211868.300000001</v>
      </c>
    </row>
    <row r="25" spans="1:7" x14ac:dyDescent="0.2">
      <c r="A25" s="44" t="s">
        <v>75</v>
      </c>
      <c r="B25" s="58">
        <v>0</v>
      </c>
      <c r="C25" s="59"/>
      <c r="D25" s="59">
        <f t="shared" si="3"/>
        <v>0</v>
      </c>
      <c r="E25" s="25"/>
      <c r="F25" s="25"/>
      <c r="G25" s="25">
        <f>D25-E25-F25</f>
        <v>0</v>
      </c>
    </row>
    <row r="26" spans="1:7" x14ac:dyDescent="0.2">
      <c r="A26" s="44" t="s">
        <v>41</v>
      </c>
      <c r="B26" s="61"/>
      <c r="C26" s="59"/>
      <c r="D26" s="59">
        <f t="shared" si="3"/>
        <v>0</v>
      </c>
      <c r="E26" s="25"/>
      <c r="F26" s="25"/>
      <c r="G26" s="41">
        <f>D26-E26-F26</f>
        <v>0</v>
      </c>
    </row>
    <row r="27" spans="1:7" x14ac:dyDescent="0.2">
      <c r="A27" s="44" t="s">
        <v>42</v>
      </c>
      <c r="B27" s="58"/>
      <c r="C27" s="59"/>
      <c r="D27" s="59">
        <f t="shared" si="3"/>
        <v>0</v>
      </c>
      <c r="E27" s="25"/>
      <c r="F27" s="25"/>
      <c r="G27" s="41">
        <f>D27-E27-F27</f>
        <v>0</v>
      </c>
    </row>
    <row r="28" spans="1:7" s="18" customFormat="1" x14ac:dyDescent="0.2">
      <c r="A28" s="60" t="s">
        <v>140</v>
      </c>
      <c r="B28" s="58">
        <v>100000</v>
      </c>
      <c r="C28" s="59"/>
      <c r="D28" s="59">
        <f t="shared" si="3"/>
        <v>100000</v>
      </c>
      <c r="E28" s="25"/>
      <c r="F28" s="25">
        <v>95025.67</v>
      </c>
      <c r="G28" s="25">
        <f>D28-E28-F28</f>
        <v>4974.3300000000017</v>
      </c>
    </row>
    <row r="29" spans="1:7" x14ac:dyDescent="0.2">
      <c r="A29" s="44" t="s">
        <v>43</v>
      </c>
      <c r="B29" s="58"/>
      <c r="C29" s="59"/>
      <c r="D29" s="59">
        <f t="shared" si="3"/>
        <v>0</v>
      </c>
      <c r="E29" s="25"/>
      <c r="F29" s="25"/>
      <c r="G29" s="41">
        <f>D29-E29-F29</f>
        <v>0</v>
      </c>
    </row>
    <row r="30" spans="1:7" x14ac:dyDescent="0.2">
      <c r="A30" s="44" t="s">
        <v>44</v>
      </c>
      <c r="B30" s="58"/>
      <c r="C30" s="59"/>
      <c r="D30" s="59">
        <f t="shared" si="3"/>
        <v>0</v>
      </c>
      <c r="E30" s="25"/>
      <c r="F30" s="25"/>
      <c r="G30" s="25">
        <f>D30-E30-F30</f>
        <v>0</v>
      </c>
    </row>
    <row r="31" spans="1:7" x14ac:dyDescent="0.2">
      <c r="A31" s="44" t="s">
        <v>45</v>
      </c>
      <c r="B31" s="58">
        <v>48763479</v>
      </c>
      <c r="C31" s="59"/>
      <c r="D31" s="59">
        <f t="shared" si="3"/>
        <v>48763479</v>
      </c>
      <c r="E31" s="40">
        <v>18908520</v>
      </c>
      <c r="F31" s="40">
        <v>18021480</v>
      </c>
      <c r="G31" s="25">
        <f>D31-E31-F31</f>
        <v>11833479</v>
      </c>
    </row>
    <row r="32" spans="1:7" x14ac:dyDescent="0.2">
      <c r="A32" s="62" t="s">
        <v>46</v>
      </c>
      <c r="B32" s="58">
        <v>90000</v>
      </c>
      <c r="C32" s="59"/>
      <c r="D32" s="59">
        <f t="shared" si="3"/>
        <v>90000</v>
      </c>
      <c r="E32" s="25"/>
      <c r="F32" s="25">
        <v>30789.03</v>
      </c>
      <c r="G32" s="25">
        <f>D32-E32-F32</f>
        <v>59210.97</v>
      </c>
    </row>
    <row r="33" spans="1:7" x14ac:dyDescent="0.2">
      <c r="A33" s="60" t="s">
        <v>141</v>
      </c>
      <c r="B33" s="58"/>
      <c r="C33" s="59"/>
      <c r="D33" s="59">
        <f t="shared" si="3"/>
        <v>0</v>
      </c>
      <c r="E33" s="25"/>
      <c r="F33" s="25"/>
      <c r="G33" s="25">
        <f>D33-E33-F33</f>
        <v>0</v>
      </c>
    </row>
    <row r="34" spans="1:7" x14ac:dyDescent="0.2">
      <c r="A34" s="44" t="s">
        <v>83</v>
      </c>
      <c r="B34" s="58"/>
      <c r="C34" s="59"/>
      <c r="D34" s="59">
        <f t="shared" si="3"/>
        <v>0</v>
      </c>
      <c r="E34" s="25"/>
      <c r="F34" s="25"/>
      <c r="G34" s="25">
        <f>D34-E34-F34</f>
        <v>0</v>
      </c>
    </row>
    <row r="35" spans="1:7" x14ac:dyDescent="0.2">
      <c r="A35" s="44" t="s">
        <v>69</v>
      </c>
      <c r="B35" s="58"/>
      <c r="C35" s="59"/>
      <c r="D35" s="59">
        <f t="shared" si="3"/>
        <v>0</v>
      </c>
      <c r="E35" s="25"/>
      <c r="F35" s="25"/>
      <c r="G35" s="25">
        <f>D35-E35-F35</f>
        <v>0</v>
      </c>
    </row>
    <row r="36" spans="1:7" x14ac:dyDescent="0.2">
      <c r="A36" s="50" t="s">
        <v>96</v>
      </c>
      <c r="B36" s="45"/>
      <c r="C36" s="59"/>
      <c r="D36" s="59">
        <f t="shared" si="3"/>
        <v>0</v>
      </c>
      <c r="E36" s="25"/>
      <c r="F36" s="25"/>
      <c r="G36" s="25">
        <v>0</v>
      </c>
    </row>
    <row r="37" spans="1:7" x14ac:dyDescent="0.2">
      <c r="A37" s="62" t="s">
        <v>114</v>
      </c>
      <c r="B37" s="61">
        <v>775600000</v>
      </c>
      <c r="C37" s="112">
        <f>490000000-250000000-84653170</f>
        <v>155346830</v>
      </c>
      <c r="D37" s="59">
        <f t="shared" si="3"/>
        <v>930946830</v>
      </c>
      <c r="E37" s="40">
        <v>232378345</v>
      </c>
      <c r="F37" s="41">
        <v>7500000</v>
      </c>
      <c r="G37" s="25">
        <f>D37-E37-F37</f>
        <v>691068485</v>
      </c>
    </row>
    <row r="38" spans="1:7" x14ac:dyDescent="0.2">
      <c r="A38" s="104" t="s">
        <v>74</v>
      </c>
      <c r="B38" s="61">
        <f>218377500</f>
        <v>218377500</v>
      </c>
      <c r="C38" s="59"/>
      <c r="D38" s="59">
        <f>+B38+C38</f>
        <v>218377500</v>
      </c>
      <c r="E38" s="41">
        <v>144774812</v>
      </c>
      <c r="F38" s="41"/>
      <c r="G38" s="25">
        <f>D38-E38-F38</f>
        <v>73602688</v>
      </c>
    </row>
    <row r="39" spans="1:7" x14ac:dyDescent="0.2">
      <c r="A39" s="44" t="s">
        <v>48</v>
      </c>
      <c r="B39" s="61">
        <v>13000000</v>
      </c>
      <c r="C39" s="59"/>
      <c r="D39" s="59">
        <f>+B39+C39</f>
        <v>13000000</v>
      </c>
      <c r="E39" s="25"/>
      <c r="F39" s="25"/>
      <c r="G39" s="25">
        <f>D39-E39-F39</f>
        <v>13000000</v>
      </c>
    </row>
    <row r="40" spans="1:7" ht="16.5" customHeight="1" x14ac:dyDescent="0.2">
      <c r="A40" s="44" t="s">
        <v>49</v>
      </c>
      <c r="B40" s="58"/>
      <c r="C40" s="59"/>
      <c r="D40" s="40">
        <f t="shared" si="3"/>
        <v>0</v>
      </c>
      <c r="E40" s="25"/>
      <c r="F40" s="25"/>
      <c r="G40" s="25">
        <f>D40-E40-F40</f>
        <v>0</v>
      </c>
    </row>
    <row r="41" spans="1:7" ht="25.5" x14ac:dyDescent="0.2">
      <c r="A41" s="63" t="s">
        <v>50</v>
      </c>
      <c r="B41" s="58">
        <v>2000000</v>
      </c>
      <c r="C41" s="59"/>
      <c r="D41" s="40">
        <f t="shared" si="3"/>
        <v>2000000</v>
      </c>
      <c r="E41" s="25">
        <v>293000</v>
      </c>
      <c r="F41" s="25"/>
      <c r="G41" s="48">
        <f>D41-E41-F41</f>
        <v>1707000</v>
      </c>
    </row>
    <row r="42" spans="1:7" x14ac:dyDescent="0.2">
      <c r="A42" s="44" t="s">
        <v>51</v>
      </c>
      <c r="B42" s="58">
        <v>4909282</v>
      </c>
      <c r="C42" s="59"/>
      <c r="D42" s="40">
        <f t="shared" si="3"/>
        <v>4909282</v>
      </c>
      <c r="E42" s="48">
        <v>1476044</v>
      </c>
      <c r="F42" s="48">
        <v>978598</v>
      </c>
      <c r="G42" s="48">
        <f>D42-E42-F42</f>
        <v>2454640</v>
      </c>
    </row>
    <row r="43" spans="1:7" x14ac:dyDescent="0.2">
      <c r="A43" s="44" t="s">
        <v>52</v>
      </c>
      <c r="B43" s="58">
        <v>3000000</v>
      </c>
      <c r="C43" s="59"/>
      <c r="D43" s="40">
        <f t="shared" si="3"/>
        <v>3000000</v>
      </c>
      <c r="E43" s="48">
        <v>993605.75</v>
      </c>
      <c r="F43" s="48">
        <v>501244.25</v>
      </c>
      <c r="G43" s="48">
        <f>D43-E43-F43</f>
        <v>1505150</v>
      </c>
    </row>
    <row r="44" spans="1:7" x14ac:dyDescent="0.2">
      <c r="A44" s="44" t="s">
        <v>53</v>
      </c>
      <c r="B44" s="61">
        <v>101000000</v>
      </c>
      <c r="C44" s="59"/>
      <c r="D44" s="59">
        <f t="shared" si="3"/>
        <v>101000000</v>
      </c>
      <c r="E44" s="48">
        <v>1813598.15</v>
      </c>
      <c r="F44" s="48">
        <v>34182746.450000003</v>
      </c>
      <c r="G44" s="48">
        <f>D44-E44-F44</f>
        <v>65003655.399999991</v>
      </c>
    </row>
    <row r="45" spans="1:7" x14ac:dyDescent="0.2">
      <c r="A45" s="44" t="s">
        <v>79</v>
      </c>
      <c r="B45" s="61">
        <v>88000000</v>
      </c>
      <c r="C45" s="59"/>
      <c r="D45" s="59">
        <f t="shared" si="3"/>
        <v>88000000</v>
      </c>
      <c r="E45" s="48">
        <v>19941007.359999999</v>
      </c>
      <c r="F45" s="48">
        <v>32872226.879999999</v>
      </c>
      <c r="G45" s="48">
        <f>D45-E45-F45</f>
        <v>35186765.760000005</v>
      </c>
    </row>
    <row r="46" spans="1:7" x14ac:dyDescent="0.2">
      <c r="A46" s="44" t="s">
        <v>55</v>
      </c>
      <c r="B46" s="58">
        <v>12000000</v>
      </c>
      <c r="C46" s="59"/>
      <c r="D46" s="59">
        <f t="shared" si="3"/>
        <v>12000000</v>
      </c>
      <c r="E46" s="48"/>
      <c r="F46" s="48">
        <v>8485</v>
      </c>
      <c r="G46" s="48">
        <f>D46-E46-F46</f>
        <v>11991515</v>
      </c>
    </row>
    <row r="47" spans="1:7" x14ac:dyDescent="0.2">
      <c r="A47" s="62" t="s">
        <v>142</v>
      </c>
      <c r="B47" s="61">
        <v>0</v>
      </c>
      <c r="C47" s="59"/>
      <c r="D47" s="59">
        <f t="shared" si="3"/>
        <v>0</v>
      </c>
      <c r="E47" s="47"/>
      <c r="F47" s="47"/>
      <c r="G47" s="25">
        <f>D47-E47-F47</f>
        <v>0</v>
      </c>
    </row>
    <row r="48" spans="1:7" x14ac:dyDescent="0.2">
      <c r="A48" s="60" t="s">
        <v>57</v>
      </c>
      <c r="B48" s="58">
        <v>1500000</v>
      </c>
      <c r="C48" s="59"/>
      <c r="D48" s="59">
        <f t="shared" si="3"/>
        <v>1500000</v>
      </c>
      <c r="E48" s="48">
        <v>229895.7</v>
      </c>
      <c r="F48" s="48">
        <v>1020104.3</v>
      </c>
      <c r="G48" s="25">
        <f>D48-E48-F48</f>
        <v>250000</v>
      </c>
    </row>
    <row r="49" spans="1:7" x14ac:dyDescent="0.2">
      <c r="A49" s="44" t="s">
        <v>58</v>
      </c>
      <c r="B49" s="58"/>
      <c r="C49" s="59"/>
      <c r="D49" s="59">
        <f t="shared" si="3"/>
        <v>0</v>
      </c>
      <c r="E49" s="135"/>
      <c r="F49" s="23"/>
      <c r="G49" s="25">
        <f>D49-E49-F49</f>
        <v>0</v>
      </c>
    </row>
    <row r="50" spans="1:7" s="18" customFormat="1" x14ac:dyDescent="0.2">
      <c r="A50" s="44" t="s">
        <v>59</v>
      </c>
      <c r="B50" s="58"/>
      <c r="C50" s="59"/>
      <c r="D50" s="59">
        <f t="shared" si="3"/>
        <v>0</v>
      </c>
      <c r="E50" s="135"/>
      <c r="F50" s="23"/>
      <c r="G50" s="25">
        <f>D50-E50-F50</f>
        <v>0</v>
      </c>
    </row>
    <row r="51" spans="1:7" ht="25.5" x14ac:dyDescent="0.2">
      <c r="A51" s="63" t="s">
        <v>60</v>
      </c>
      <c r="B51" s="58"/>
      <c r="C51" s="59"/>
      <c r="D51" s="59">
        <f t="shared" si="3"/>
        <v>0</v>
      </c>
      <c r="E51" s="135"/>
      <c r="F51" s="23"/>
      <c r="G51" s="25">
        <f>D51-E51-F51</f>
        <v>0</v>
      </c>
    </row>
    <row r="52" spans="1:7" ht="25.5" x14ac:dyDescent="0.2">
      <c r="A52" s="62" t="s">
        <v>125</v>
      </c>
      <c r="B52" s="58"/>
      <c r="C52" s="59"/>
      <c r="D52" s="59">
        <f t="shared" si="3"/>
        <v>0</v>
      </c>
      <c r="E52" s="135"/>
      <c r="F52" s="23"/>
      <c r="G52" s="25">
        <f>D52-E52-F52</f>
        <v>0</v>
      </c>
    </row>
    <row r="53" spans="1:7" ht="25.5" x14ac:dyDescent="0.2">
      <c r="A53" s="62" t="s">
        <v>126</v>
      </c>
      <c r="B53" s="58">
        <f>400000-400000</f>
        <v>0</v>
      </c>
      <c r="C53" s="59"/>
      <c r="D53" s="59">
        <f t="shared" si="3"/>
        <v>0</v>
      </c>
      <c r="E53" s="135"/>
      <c r="F53" s="23"/>
      <c r="G53" s="25">
        <f>D53-E53-F53</f>
        <v>0</v>
      </c>
    </row>
    <row r="54" spans="1:7" ht="25.5" x14ac:dyDescent="0.2">
      <c r="A54" s="63" t="s">
        <v>61</v>
      </c>
      <c r="B54" s="58"/>
      <c r="C54" s="59"/>
      <c r="D54" s="59">
        <f t="shared" si="3"/>
        <v>0</v>
      </c>
      <c r="E54" s="135"/>
      <c r="F54" s="23"/>
      <c r="G54" s="25">
        <f>D54-E54-F54</f>
        <v>0</v>
      </c>
    </row>
    <row r="55" spans="1:7" ht="25.5" x14ac:dyDescent="0.2">
      <c r="A55" s="81" t="s">
        <v>143</v>
      </c>
      <c r="B55" s="66"/>
      <c r="C55" s="67"/>
      <c r="D55" s="67">
        <f t="shared" si="3"/>
        <v>0</v>
      </c>
      <c r="E55" s="136"/>
      <c r="F55" s="66"/>
      <c r="G55" s="84">
        <f>D55-E55-F55</f>
        <v>0</v>
      </c>
    </row>
    <row r="56" spans="1:7" x14ac:dyDescent="0.2">
      <c r="A56" s="87" t="s">
        <v>94</v>
      </c>
      <c r="B56" s="88"/>
      <c r="C56" s="88"/>
      <c r="D56" s="88">
        <f t="shared" si="3"/>
        <v>0</v>
      </c>
      <c r="E56" s="137"/>
      <c r="F56" s="23"/>
      <c r="G56" s="48">
        <f>D56-E56-F56</f>
        <v>0</v>
      </c>
    </row>
    <row r="57" spans="1:7" x14ac:dyDescent="0.2">
      <c r="A57" s="87" t="s">
        <v>112</v>
      </c>
      <c r="B57" s="88"/>
      <c r="C57" s="88"/>
      <c r="D57" s="88">
        <f t="shared" ref="D57" si="4">+B57+C57</f>
        <v>0</v>
      </c>
      <c r="E57" s="137"/>
      <c r="F57" s="23"/>
      <c r="G57" s="25">
        <f>D57-E57-F57</f>
        <v>0</v>
      </c>
    </row>
    <row r="58" spans="1:7" ht="35.25" customHeight="1" x14ac:dyDescent="0.2">
      <c r="A58" s="62" t="s">
        <v>159</v>
      </c>
      <c r="B58" s="21">
        <v>278000000</v>
      </c>
      <c r="C58" s="85"/>
      <c r="D58" s="85">
        <f t="shared" si="3"/>
        <v>278000000</v>
      </c>
      <c r="E58" s="138">
        <v>0</v>
      </c>
      <c r="F58" s="21">
        <v>217438354.69</v>
      </c>
      <c r="G58" s="86">
        <f>D58-E58-F58</f>
        <v>60561645.310000002</v>
      </c>
    </row>
    <row r="59" spans="1:7" x14ac:dyDescent="0.2">
      <c r="A59" s="57" t="s">
        <v>0</v>
      </c>
      <c r="B59" s="23"/>
      <c r="C59" s="48"/>
      <c r="D59" s="48">
        <f t="shared" si="3"/>
        <v>0</v>
      </c>
      <c r="E59" s="48"/>
      <c r="F59" s="134"/>
      <c r="G59" s="25">
        <v>0</v>
      </c>
    </row>
    <row r="60" spans="1:7" ht="15" x14ac:dyDescent="0.25">
      <c r="A60" s="68" t="s">
        <v>1</v>
      </c>
      <c r="B60" s="22">
        <f t="shared" ref="B60:F60" si="5">SUM(B61:B76)</f>
        <v>7825000</v>
      </c>
      <c r="C60" s="69">
        <f t="shared" si="5"/>
        <v>0</v>
      </c>
      <c r="D60" s="69">
        <f t="shared" si="5"/>
        <v>7825000</v>
      </c>
      <c r="E60" s="69">
        <f>SUM(E61:E76)</f>
        <v>5177203</v>
      </c>
      <c r="F60" s="69">
        <f t="shared" si="5"/>
        <v>1805297.21</v>
      </c>
      <c r="G60" s="42">
        <f>D60-E60-F60</f>
        <v>842499.79</v>
      </c>
    </row>
    <row r="61" spans="1:7" x14ac:dyDescent="0.2">
      <c r="A61" s="157" t="s">
        <v>2</v>
      </c>
      <c r="B61" s="21"/>
      <c r="C61" s="85"/>
      <c r="D61" s="85">
        <f>+B61+C61</f>
        <v>0</v>
      </c>
      <c r="E61" s="85"/>
      <c r="F61" s="85"/>
      <c r="G61" s="86">
        <f>D61-E61-F61</f>
        <v>0</v>
      </c>
    </row>
    <row r="62" spans="1:7" x14ac:dyDescent="0.2">
      <c r="A62" s="62" t="s">
        <v>144</v>
      </c>
      <c r="B62" s="23">
        <v>300000</v>
      </c>
      <c r="C62" s="48"/>
      <c r="D62" s="48">
        <f t="shared" ref="D62:D76" si="6">+B62+C62</f>
        <v>300000</v>
      </c>
      <c r="E62" s="48">
        <v>293380</v>
      </c>
      <c r="F62" s="48"/>
      <c r="G62" s="48">
        <f>D62-E62-F62</f>
        <v>6620</v>
      </c>
    </row>
    <row r="63" spans="1:7" x14ac:dyDescent="0.2">
      <c r="A63" s="62" t="s">
        <v>4</v>
      </c>
      <c r="B63" s="23">
        <v>1500000</v>
      </c>
      <c r="C63" s="48"/>
      <c r="D63" s="48">
        <f t="shared" si="6"/>
        <v>1500000</v>
      </c>
      <c r="E63" s="48">
        <v>1178293</v>
      </c>
      <c r="F63" s="48">
        <v>274540.79999999999</v>
      </c>
      <c r="G63" s="48">
        <f>D63-E63-F63</f>
        <v>47166.200000000012</v>
      </c>
    </row>
    <row r="64" spans="1:7" x14ac:dyDescent="0.2">
      <c r="A64" s="62" t="s">
        <v>145</v>
      </c>
      <c r="B64" s="23">
        <v>3000000</v>
      </c>
      <c r="C64" s="48"/>
      <c r="D64" s="48">
        <f t="shared" si="6"/>
        <v>3000000</v>
      </c>
      <c r="E64" s="48">
        <v>1905584</v>
      </c>
      <c r="F64" s="48">
        <v>711006</v>
      </c>
      <c r="G64" s="47">
        <f>D64-E64-F64</f>
        <v>383410</v>
      </c>
    </row>
    <row r="65" spans="1:7" x14ac:dyDescent="0.2">
      <c r="A65" s="62" t="s">
        <v>130</v>
      </c>
      <c r="B65" s="23"/>
      <c r="C65" s="48"/>
      <c r="D65" s="48">
        <f t="shared" si="6"/>
        <v>0</v>
      </c>
      <c r="E65" s="48"/>
      <c r="F65" s="48"/>
      <c r="G65" s="48">
        <f>D65-E65-F65</f>
        <v>0</v>
      </c>
    </row>
    <row r="66" spans="1:7" x14ac:dyDescent="0.2">
      <c r="A66" s="62" t="s">
        <v>131</v>
      </c>
      <c r="B66" s="23"/>
      <c r="C66" s="48"/>
      <c r="D66" s="48">
        <f t="shared" si="6"/>
        <v>0</v>
      </c>
      <c r="E66" s="48"/>
      <c r="F66" s="48"/>
      <c r="G66" s="48">
        <f>D66-E66-F66</f>
        <v>0</v>
      </c>
    </row>
    <row r="67" spans="1:7" x14ac:dyDescent="0.2">
      <c r="A67" s="62" t="s">
        <v>146</v>
      </c>
      <c r="B67" s="23"/>
      <c r="C67" s="48"/>
      <c r="D67" s="48">
        <f t="shared" si="6"/>
        <v>0</v>
      </c>
      <c r="E67" s="48"/>
      <c r="F67" s="48"/>
      <c r="G67" s="48">
        <f>D67-E67-F67</f>
        <v>0</v>
      </c>
    </row>
    <row r="68" spans="1:7" x14ac:dyDescent="0.2">
      <c r="A68" s="60" t="s">
        <v>98</v>
      </c>
      <c r="B68" s="23"/>
      <c r="C68" s="48"/>
      <c r="D68" s="48">
        <f t="shared" ref="D68" si="7">+B68+C68</f>
        <v>0</v>
      </c>
      <c r="E68" s="48"/>
      <c r="F68" s="48"/>
      <c r="G68" s="48">
        <f>D68-E68-F68</f>
        <v>0</v>
      </c>
    </row>
    <row r="69" spans="1:7" x14ac:dyDescent="0.2">
      <c r="A69" s="80" t="s">
        <v>76</v>
      </c>
      <c r="B69" s="23">
        <v>25000</v>
      </c>
      <c r="C69" s="48"/>
      <c r="D69" s="48">
        <f t="shared" si="6"/>
        <v>25000</v>
      </c>
      <c r="E69" s="48"/>
      <c r="F69" s="48"/>
      <c r="G69" s="48">
        <f>D69-E69-F69</f>
        <v>25000</v>
      </c>
    </row>
    <row r="70" spans="1:7" x14ac:dyDescent="0.2">
      <c r="A70" s="60" t="s">
        <v>23</v>
      </c>
      <c r="B70" s="23">
        <v>50000</v>
      </c>
      <c r="C70" s="48"/>
      <c r="D70" s="48">
        <f t="shared" si="6"/>
        <v>50000</v>
      </c>
      <c r="E70" s="48">
        <v>47342</v>
      </c>
      <c r="F70" s="48"/>
      <c r="G70" s="48">
        <f>D70-E70-F70</f>
        <v>2658</v>
      </c>
    </row>
    <row r="71" spans="1:7" x14ac:dyDescent="0.2">
      <c r="A71" s="55" t="s">
        <v>7</v>
      </c>
      <c r="B71" s="23">
        <v>1000000</v>
      </c>
      <c r="C71" s="48"/>
      <c r="D71" s="48">
        <f t="shared" si="6"/>
        <v>1000000</v>
      </c>
      <c r="E71" s="48">
        <v>210080</v>
      </c>
      <c r="F71" s="48">
        <v>621800.62</v>
      </c>
      <c r="G71" s="48">
        <f>D71-E71-F71</f>
        <v>168119.38</v>
      </c>
    </row>
    <row r="72" spans="1:7" x14ac:dyDescent="0.2">
      <c r="A72" s="62" t="s">
        <v>8</v>
      </c>
      <c r="B72" s="23">
        <v>1500000</v>
      </c>
      <c r="C72" s="48"/>
      <c r="D72" s="48">
        <f t="shared" si="6"/>
        <v>1500000</v>
      </c>
      <c r="E72" s="48">
        <v>1299132</v>
      </c>
      <c r="F72" s="48">
        <v>111228</v>
      </c>
      <c r="G72" s="48">
        <f>D72-E72-F72</f>
        <v>89640</v>
      </c>
    </row>
    <row r="73" spans="1:7" ht="25.5" customHeight="1" x14ac:dyDescent="0.2">
      <c r="A73" s="60" t="s">
        <v>9</v>
      </c>
      <c r="B73" s="23">
        <v>0</v>
      </c>
      <c r="C73" s="48"/>
      <c r="D73" s="48">
        <f t="shared" si="6"/>
        <v>0</v>
      </c>
      <c r="E73" s="48"/>
      <c r="F73" s="48"/>
      <c r="G73" s="48">
        <f>D73-E73-F73</f>
        <v>0</v>
      </c>
    </row>
    <row r="74" spans="1:7" x14ac:dyDescent="0.2">
      <c r="A74" s="62" t="s">
        <v>147</v>
      </c>
      <c r="B74" s="23">
        <v>100000</v>
      </c>
      <c r="C74" s="48"/>
      <c r="D74" s="48">
        <f t="shared" si="6"/>
        <v>100000</v>
      </c>
      <c r="E74" s="48"/>
      <c r="F74" s="48"/>
      <c r="G74" s="25">
        <f>D74-E74-F74</f>
        <v>100000</v>
      </c>
    </row>
    <row r="75" spans="1:7" x14ac:dyDescent="0.2">
      <c r="A75" s="62" t="s">
        <v>148</v>
      </c>
      <c r="B75" s="23">
        <v>300000</v>
      </c>
      <c r="C75" s="48"/>
      <c r="D75" s="48">
        <f t="shared" si="6"/>
        <v>300000</v>
      </c>
      <c r="E75" s="48">
        <v>235202</v>
      </c>
      <c r="F75" s="48">
        <v>53734</v>
      </c>
      <c r="G75" s="47">
        <f>D75-E75-F75</f>
        <v>11064</v>
      </c>
    </row>
    <row r="76" spans="1:7" x14ac:dyDescent="0.2">
      <c r="A76" s="81" t="s">
        <v>12</v>
      </c>
      <c r="B76" s="66">
        <v>50000</v>
      </c>
      <c r="C76" s="67"/>
      <c r="D76" s="66">
        <f t="shared" si="6"/>
        <v>50000</v>
      </c>
      <c r="E76" s="66">
        <v>8190</v>
      </c>
      <c r="F76" s="48">
        <v>32987.79</v>
      </c>
      <c r="G76" s="25">
        <f>D76-E76-F76</f>
        <v>8822.2099999999991</v>
      </c>
    </row>
    <row r="77" spans="1:7" ht="15" x14ac:dyDescent="0.25">
      <c r="A77" s="68" t="s">
        <v>13</v>
      </c>
      <c r="B77" s="69">
        <f t="shared" ref="B77:F77" si="8">SUM(B78:B84)</f>
        <v>38100000</v>
      </c>
      <c r="C77" s="69">
        <f t="shared" si="8"/>
        <v>0</v>
      </c>
      <c r="D77" s="69">
        <f t="shared" si="8"/>
        <v>38100000</v>
      </c>
      <c r="E77" s="69">
        <f t="shared" si="8"/>
        <v>325008</v>
      </c>
      <c r="F77" s="69">
        <f t="shared" si="8"/>
        <v>0</v>
      </c>
      <c r="G77" s="42">
        <f>D77-E77-F77</f>
        <v>37774992</v>
      </c>
    </row>
    <row r="78" spans="1:7" x14ac:dyDescent="0.2">
      <c r="A78" s="62" t="s">
        <v>149</v>
      </c>
      <c r="B78" s="23">
        <v>600000</v>
      </c>
      <c r="C78" s="48"/>
      <c r="D78" s="48">
        <f t="shared" ref="D78:D84" si="9">+B78+C78</f>
        <v>600000</v>
      </c>
      <c r="E78" s="48">
        <v>325008</v>
      </c>
      <c r="F78" s="48"/>
      <c r="G78" s="25">
        <f>D78-E78-F78</f>
        <v>274992</v>
      </c>
    </row>
    <row r="79" spans="1:7" s="18" customFormat="1" x14ac:dyDescent="0.2">
      <c r="A79" s="62" t="s">
        <v>15</v>
      </c>
      <c r="B79" s="23"/>
      <c r="C79" s="48"/>
      <c r="D79" s="48">
        <f t="shared" si="9"/>
        <v>0</v>
      </c>
      <c r="E79" s="48"/>
      <c r="F79" s="48"/>
      <c r="G79" s="41">
        <f>D79-E79-F79</f>
        <v>0</v>
      </c>
    </row>
    <row r="80" spans="1:7" x14ac:dyDescent="0.2">
      <c r="A80" s="62" t="s">
        <v>16</v>
      </c>
      <c r="B80" s="23"/>
      <c r="C80" s="48"/>
      <c r="D80" s="48">
        <f t="shared" si="9"/>
        <v>0</v>
      </c>
      <c r="E80" s="48"/>
      <c r="F80" s="48"/>
      <c r="G80" s="25">
        <f>D80-E80-F80</f>
        <v>0</v>
      </c>
    </row>
    <row r="81" spans="1:7" ht="25.5" x14ac:dyDescent="0.2">
      <c r="A81" s="64" t="s">
        <v>17</v>
      </c>
      <c r="B81" s="23"/>
      <c r="C81" s="48"/>
      <c r="D81" s="48">
        <f t="shared" si="9"/>
        <v>0</v>
      </c>
      <c r="E81" s="48"/>
      <c r="F81" s="48"/>
      <c r="G81" s="25">
        <f>D81-E81-F81</f>
        <v>0</v>
      </c>
    </row>
    <row r="82" spans="1:7" x14ac:dyDescent="0.2">
      <c r="A82" s="62" t="s">
        <v>150</v>
      </c>
      <c r="B82" s="23">
        <v>500000</v>
      </c>
      <c r="C82" s="48"/>
      <c r="D82" s="48">
        <f t="shared" si="9"/>
        <v>500000</v>
      </c>
      <c r="E82" s="108"/>
      <c r="F82" s="48"/>
      <c r="G82" s="47">
        <f>D82-E82-F82</f>
        <v>500000</v>
      </c>
    </row>
    <row r="83" spans="1:7" x14ac:dyDescent="0.2">
      <c r="A83" s="65" t="s">
        <v>77</v>
      </c>
      <c r="B83" s="23"/>
      <c r="C83" s="48"/>
      <c r="D83" s="48">
        <f t="shared" si="9"/>
        <v>0</v>
      </c>
      <c r="E83" s="48"/>
      <c r="F83" s="48"/>
      <c r="G83" s="25">
        <f>D83-E83-F83</f>
        <v>0</v>
      </c>
    </row>
    <row r="84" spans="1:7" x14ac:dyDescent="0.2">
      <c r="A84" s="60" t="s">
        <v>80</v>
      </c>
      <c r="B84" s="23">
        <v>37000000</v>
      </c>
      <c r="C84" s="48"/>
      <c r="D84" s="48">
        <f t="shared" si="9"/>
        <v>37000000</v>
      </c>
      <c r="E84" s="48"/>
      <c r="F84" s="48"/>
      <c r="G84" s="25">
        <f>D84-E84-F84</f>
        <v>37000000</v>
      </c>
    </row>
    <row r="85" spans="1:7" x14ac:dyDescent="0.2">
      <c r="A85" s="70" t="s">
        <v>18</v>
      </c>
      <c r="B85" s="54">
        <f>B86+B90+B91+B93+B94+B95+B96+B92+B89</f>
        <v>1812894813</v>
      </c>
      <c r="C85" s="54">
        <f t="shared" ref="C85:G85" si="10">C86+C90+C91+C93+C94+C95+C96+C92+C89</f>
        <v>15950000</v>
      </c>
      <c r="D85" s="54">
        <f t="shared" si="10"/>
        <v>1828844813</v>
      </c>
      <c r="E85" s="54">
        <f t="shared" si="10"/>
        <v>87657892.210000008</v>
      </c>
      <c r="F85" s="54">
        <f>F86+F90+F91+F93+F94+F95+F96+F92+F89</f>
        <v>1153001942.4000001</v>
      </c>
      <c r="G85" s="54">
        <f t="shared" si="10"/>
        <v>588184978.38999999</v>
      </c>
    </row>
    <row r="86" spans="1:7" ht="25.5" x14ac:dyDescent="0.2">
      <c r="A86" s="64" t="s">
        <v>19</v>
      </c>
      <c r="B86" s="23">
        <f>B87+B88</f>
        <v>11194813</v>
      </c>
      <c r="C86" s="48"/>
      <c r="D86" s="23">
        <f>+B86+C86</f>
        <v>11194813</v>
      </c>
      <c r="E86" s="48">
        <f t="shared" ref="E86:F86" si="11">+E87+E88</f>
        <v>2476593.1100000003</v>
      </c>
      <c r="F86" s="48">
        <f t="shared" si="11"/>
        <v>8718219.8900000006</v>
      </c>
      <c r="G86" s="25">
        <f>D86-E86-F86</f>
        <v>0</v>
      </c>
    </row>
    <row r="87" spans="1:7" ht="22.5" x14ac:dyDescent="0.2">
      <c r="A87" s="71" t="s">
        <v>103</v>
      </c>
      <c r="B87" s="72">
        <v>7822881</v>
      </c>
      <c r="C87" s="72"/>
      <c r="D87" s="72">
        <f>+B87+C87</f>
        <v>7822881</v>
      </c>
      <c r="E87" s="103">
        <v>1237973.3400000001</v>
      </c>
      <c r="F87" s="103">
        <v>6584907.6600000001</v>
      </c>
      <c r="G87" s="43">
        <f>D87-E87-F87</f>
        <v>0</v>
      </c>
    </row>
    <row r="88" spans="1:7" ht="22.5" x14ac:dyDescent="0.2">
      <c r="A88" s="71" t="s">
        <v>104</v>
      </c>
      <c r="B88" s="72">
        <v>3371932</v>
      </c>
      <c r="C88" s="72"/>
      <c r="D88" s="72">
        <f>+B88+C88</f>
        <v>3371932</v>
      </c>
      <c r="E88" s="103">
        <v>1238619.77</v>
      </c>
      <c r="F88" s="103">
        <v>2133312.23</v>
      </c>
      <c r="G88" s="43">
        <f>D88-E88-F88</f>
        <v>0</v>
      </c>
    </row>
    <row r="89" spans="1:7" x14ac:dyDescent="0.2">
      <c r="A89" s="107" t="s">
        <v>117</v>
      </c>
      <c r="B89" s="72"/>
      <c r="C89" s="47"/>
      <c r="D89" s="61">
        <f>+B89+C89</f>
        <v>0</v>
      </c>
      <c r="E89" s="47"/>
      <c r="F89" s="47"/>
      <c r="G89" s="43">
        <f>D89-E89-F89</f>
        <v>0</v>
      </c>
    </row>
    <row r="90" spans="1:7" x14ac:dyDescent="0.2">
      <c r="A90" s="60" t="s">
        <v>20</v>
      </c>
      <c r="B90" s="23">
        <v>5000000</v>
      </c>
      <c r="C90" s="48"/>
      <c r="D90" s="48">
        <f t="shared" ref="D90:D100" si="12">+B90+C90</f>
        <v>5000000</v>
      </c>
      <c r="E90" s="48">
        <v>0</v>
      </c>
      <c r="F90" s="48"/>
      <c r="G90" s="25">
        <f>D90-E90-F90</f>
        <v>5000000</v>
      </c>
    </row>
    <row r="91" spans="1:7" ht="38.25" x14ac:dyDescent="0.2">
      <c r="A91" s="73" t="s">
        <v>105</v>
      </c>
      <c r="B91" s="23">
        <v>5000000</v>
      </c>
      <c r="C91" s="48"/>
      <c r="D91" s="48">
        <f t="shared" si="12"/>
        <v>5000000</v>
      </c>
      <c r="E91" s="48">
        <v>0</v>
      </c>
      <c r="F91" s="48">
        <v>3103901</v>
      </c>
      <c r="G91" s="25">
        <f>D91-E91-F91</f>
        <v>1896099</v>
      </c>
    </row>
    <row r="92" spans="1:7" ht="25.5" x14ac:dyDescent="0.2">
      <c r="A92" s="73" t="s">
        <v>115</v>
      </c>
      <c r="B92" s="23">
        <v>1050000000</v>
      </c>
      <c r="C92" s="48"/>
      <c r="D92" s="48">
        <f t="shared" ref="D92" si="13">+B92+C92</f>
        <v>1050000000</v>
      </c>
      <c r="E92" s="48">
        <v>56288480.850000001</v>
      </c>
      <c r="F92" s="48">
        <v>733072839</v>
      </c>
      <c r="G92" s="25">
        <f>D92-E92-F92</f>
        <v>260638680.14999998</v>
      </c>
    </row>
    <row r="93" spans="1:7" ht="25.5" x14ac:dyDescent="0.2">
      <c r="A93" s="74" t="s">
        <v>116</v>
      </c>
      <c r="B93" s="23">
        <v>0</v>
      </c>
      <c r="C93" s="48"/>
      <c r="D93" s="48">
        <f t="shared" si="12"/>
        <v>0</v>
      </c>
      <c r="E93" s="48">
        <v>0</v>
      </c>
      <c r="F93" s="48">
        <v>0</v>
      </c>
      <c r="G93" s="25">
        <f>D93-E93-F93</f>
        <v>0</v>
      </c>
    </row>
    <row r="94" spans="1:7" ht="38.25" x14ac:dyDescent="0.2">
      <c r="A94" s="73" t="s">
        <v>106</v>
      </c>
      <c r="B94" s="23">
        <v>0</v>
      </c>
      <c r="C94" s="48"/>
      <c r="D94" s="48">
        <f t="shared" si="12"/>
        <v>0</v>
      </c>
      <c r="E94" s="48">
        <v>0</v>
      </c>
      <c r="F94" s="48">
        <v>0</v>
      </c>
      <c r="G94" s="25">
        <f>D94-E94-F94</f>
        <v>0</v>
      </c>
    </row>
    <row r="95" spans="1:7" ht="25.5" x14ac:dyDescent="0.2">
      <c r="A95" s="73" t="s">
        <v>107</v>
      </c>
      <c r="B95" s="23">
        <v>0</v>
      </c>
      <c r="C95" s="48"/>
      <c r="D95" s="48">
        <f t="shared" si="12"/>
        <v>0</v>
      </c>
      <c r="E95" s="48">
        <v>0</v>
      </c>
      <c r="F95" s="48"/>
      <c r="G95" s="25">
        <f>D95-E95-F95</f>
        <v>0</v>
      </c>
    </row>
    <row r="96" spans="1:7" x14ac:dyDescent="0.2">
      <c r="A96" s="60" t="s">
        <v>21</v>
      </c>
      <c r="B96" s="23">
        <f>SUM(B97:B100)</f>
        <v>741700000</v>
      </c>
      <c r="C96" s="48">
        <f>+C99+C100</f>
        <v>15950000</v>
      </c>
      <c r="D96" s="48">
        <f>+D97+D98+D99+D100</f>
        <v>757650000</v>
      </c>
      <c r="E96" s="48">
        <f>E97+E98+E99+E100</f>
        <v>28892818.25</v>
      </c>
      <c r="F96" s="48">
        <f>F97+F98+F99+F100</f>
        <v>408106982.50999999</v>
      </c>
      <c r="G96" s="25">
        <f>D96-E96-F96</f>
        <v>320650199.24000001</v>
      </c>
    </row>
    <row r="97" spans="1:7" x14ac:dyDescent="0.2">
      <c r="A97" s="75" t="s">
        <v>108</v>
      </c>
      <c r="B97" s="72">
        <v>88000000</v>
      </c>
      <c r="C97" s="72"/>
      <c r="D97" s="103">
        <f t="shared" si="12"/>
        <v>88000000</v>
      </c>
      <c r="E97" s="103"/>
      <c r="F97" s="103">
        <v>87999995.079999998</v>
      </c>
      <c r="G97" s="43">
        <f>D97-E97-F97</f>
        <v>4.9200000017881393</v>
      </c>
    </row>
    <row r="98" spans="1:7" ht="22.5" x14ac:dyDescent="0.2">
      <c r="A98" s="76" t="s">
        <v>109</v>
      </c>
      <c r="B98" s="72">
        <v>291000000</v>
      </c>
      <c r="C98" s="72"/>
      <c r="D98" s="103">
        <f t="shared" si="12"/>
        <v>291000000</v>
      </c>
      <c r="E98" s="103">
        <v>124495.98</v>
      </c>
      <c r="F98" s="103">
        <v>290875500</v>
      </c>
      <c r="G98" s="43">
        <f>D98-E98-F98</f>
        <v>4.0199999809265137</v>
      </c>
    </row>
    <row r="99" spans="1:7" ht="22.5" x14ac:dyDescent="0.2">
      <c r="A99" s="76" t="s">
        <v>110</v>
      </c>
      <c r="B99" s="72">
        <v>304700000</v>
      </c>
      <c r="C99" s="72">
        <f>176000000-160050000</f>
        <v>15950000</v>
      </c>
      <c r="D99" s="103">
        <f t="shared" si="12"/>
        <v>320650000</v>
      </c>
      <c r="E99" s="103"/>
      <c r="F99" s="103"/>
      <c r="G99" s="43">
        <f>D99-E99-F99</f>
        <v>320650000</v>
      </c>
    </row>
    <row r="100" spans="1:7" ht="75" customHeight="1" x14ac:dyDescent="0.2">
      <c r="A100" s="77" t="s">
        <v>155</v>
      </c>
      <c r="B100" s="78">
        <v>58000000</v>
      </c>
      <c r="C100" s="79"/>
      <c r="D100" s="103">
        <f t="shared" si="12"/>
        <v>58000000</v>
      </c>
      <c r="E100" s="103">
        <v>28768322.27</v>
      </c>
      <c r="F100" s="103">
        <v>29231487.43</v>
      </c>
      <c r="G100" s="43">
        <f>D100-E100-F100</f>
        <v>190.30000000074506</v>
      </c>
    </row>
    <row r="101" spans="1:7" ht="15" x14ac:dyDescent="0.25">
      <c r="A101" s="98" t="s">
        <v>66</v>
      </c>
      <c r="B101" s="99">
        <f t="shared" ref="B101:G101" si="14">+B85+B77+B60+B21+B6</f>
        <v>5218703170</v>
      </c>
      <c r="C101" s="100">
        <f t="shared" si="14"/>
        <v>171296830</v>
      </c>
      <c r="D101" s="100">
        <f t="shared" si="14"/>
        <v>5390000000</v>
      </c>
      <c r="E101" s="100">
        <f t="shared" si="14"/>
        <v>644436124.85000002</v>
      </c>
      <c r="F101" s="100">
        <f t="shared" si="14"/>
        <v>2510303609.1900001</v>
      </c>
      <c r="G101" s="100">
        <f t="shared" si="14"/>
        <v>2235260265.96</v>
      </c>
    </row>
    <row r="102" spans="1:7" x14ac:dyDescent="0.2">
      <c r="B102" s="12">
        <f>+B101/D101</f>
        <v>0.96821951205936918</v>
      </c>
      <c r="C102" s="12">
        <f>+C101/D101</f>
        <v>3.1780487940630799E-2</v>
      </c>
      <c r="D102" s="12">
        <f>+B102+C102</f>
        <v>1</v>
      </c>
      <c r="E102" s="12">
        <f>+E101/D101</f>
        <v>0.11956143318181818</v>
      </c>
      <c r="F102" s="12">
        <f>+F101/D101</f>
        <v>0.46573350819851578</v>
      </c>
      <c r="G102" s="12">
        <f>+G101/D101</f>
        <v>0.41470505861966606</v>
      </c>
    </row>
    <row r="103" spans="1:7" x14ac:dyDescent="0.2">
      <c r="B103" s="1"/>
      <c r="C103" s="1"/>
      <c r="D103" s="1"/>
      <c r="E103" s="1"/>
      <c r="F103" s="1"/>
    </row>
    <row r="104" spans="1:7" x14ac:dyDescent="0.2">
      <c r="B104" s="101"/>
      <c r="C104" s="12"/>
      <c r="D104" s="101"/>
      <c r="F104" s="1"/>
    </row>
    <row r="105" spans="1:7" x14ac:dyDescent="0.2">
      <c r="F105" s="1"/>
    </row>
    <row r="113" spans="1:1" x14ac:dyDescent="0.2">
      <c r="A113" s="83"/>
    </row>
    <row r="114" spans="1:1" ht="14.25" x14ac:dyDescent="0.25">
      <c r="A114" s="82"/>
    </row>
  </sheetData>
  <mergeCells count="2">
    <mergeCell ref="A2:F2"/>
    <mergeCell ref="A1:G1"/>
  </mergeCells>
  <phoneticPr fontId="8" type="noConversion"/>
  <printOptions horizontalCentered="1" verticalCentered="1"/>
  <pageMargins left="0.15748031496062992" right="0.15748031496062992" top="0.19685039370078741" bottom="0.19685039370078741" header="0.51181102362204722" footer="0.51181102362204722"/>
  <pageSetup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PROGRAMA 792</vt:lpstr>
      <vt:lpstr>programa 796</vt:lpstr>
      <vt:lpstr>'PROGRAMA 792'!Área_de_impresión</vt:lpstr>
      <vt:lpstr>'programa 796'!Área_de_impresión</vt:lpstr>
      <vt:lpstr>'PROGRAMA 792'!Títulos_a_imprimir</vt:lpstr>
      <vt:lpstr>'programa 796'!Títulos_a_imprimir</vt:lpstr>
    </vt:vector>
  </TitlesOfParts>
  <Company>Gobierno de Costa Rica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mrojas</dc:creator>
  <cp:lastModifiedBy>Dayana Bolaños</cp:lastModifiedBy>
  <cp:lastPrinted>2018-07-12T14:10:39Z</cp:lastPrinted>
  <dcterms:created xsi:type="dcterms:W3CDTF">2007-04-18T22:51:53Z</dcterms:created>
  <dcterms:modified xsi:type="dcterms:W3CDTF">2019-07-30T15:51:04Z</dcterms:modified>
</cp:coreProperties>
</file>